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80" windowHeight="1170"/>
  </bookViews>
  <sheets>
    <sheet name="Смета 12 гр. по ФЕР" sheetId="5" r:id="rId1"/>
    <sheet name="Акт КС-2 c НР и СП" sheetId="6" r:id="rId2"/>
    <sheet name="Макет форма-3" sheetId="7" r:id="rId3"/>
    <sheet name="Source" sheetId="1" r:id="rId4"/>
    <sheet name="SourceObSm" sheetId="2" r:id="rId5"/>
    <sheet name="SmtRes" sheetId="3" r:id="rId6"/>
    <sheet name="EtalonRes" sheetId="4" r:id="rId7"/>
  </sheets>
  <definedNames>
    <definedName name="_xlnm.Print_Titles" localSheetId="1">'Акт КС-2 c НР и СП'!$35:$35</definedName>
    <definedName name="_xlnm.Print_Titles" localSheetId="0">'Смета 12 гр. по ФЕР'!$25:$25</definedName>
    <definedName name="_xlnm.Print_Area" localSheetId="1">'Акт КС-2 c НР и СП'!$A$1:$H$957</definedName>
    <definedName name="_xlnm.Print_Area" localSheetId="0">'Смета 12 гр. по ФЕР'!$A$1:$L$629</definedName>
  </definedNames>
  <calcPr calcId="145621"/>
</workbook>
</file>

<file path=xl/calcChain.xml><?xml version="1.0" encoding="utf-8"?>
<calcChain xmlns="http://schemas.openxmlformats.org/spreadsheetml/2006/main">
  <c r="A1" i="7" l="1"/>
  <c r="G952" i="6"/>
  <c r="G947" i="6"/>
  <c r="C952" i="6"/>
  <c r="C947" i="6"/>
  <c r="H943" i="6"/>
  <c r="G941" i="6"/>
  <c r="C941" i="6"/>
  <c r="G940" i="6"/>
  <c r="C940" i="6"/>
  <c r="G939" i="6"/>
  <c r="C939" i="6"/>
  <c r="H936" i="6"/>
  <c r="C936" i="6"/>
  <c r="H932" i="6"/>
  <c r="C932" i="6"/>
  <c r="D930" i="6"/>
  <c r="AB929" i="6"/>
  <c r="AA929" i="6"/>
  <c r="Z929" i="6"/>
  <c r="Y929" i="6"/>
  <c r="X929" i="6"/>
  <c r="W929" i="6"/>
  <c r="V929" i="6"/>
  <c r="U929" i="6"/>
  <c r="T929" i="6"/>
  <c r="H929" i="6"/>
  <c r="G929" i="6"/>
  <c r="F929" i="6"/>
  <c r="E929" i="6"/>
  <c r="C929" i="6"/>
  <c r="D929" i="6"/>
  <c r="B929" i="6"/>
  <c r="H928" i="6"/>
  <c r="G928" i="6"/>
  <c r="H927" i="6"/>
  <c r="G927" i="6"/>
  <c r="F927" i="6"/>
  <c r="H926" i="6"/>
  <c r="G926" i="6"/>
  <c r="F926" i="6"/>
  <c r="D920" i="6"/>
  <c r="D919" i="6"/>
  <c r="D918" i="6"/>
  <c r="D917" i="6"/>
  <c r="AB916" i="6"/>
  <c r="AA916" i="6"/>
  <c r="Z916" i="6"/>
  <c r="Y916" i="6"/>
  <c r="X916" i="6"/>
  <c r="W916" i="6"/>
  <c r="V916" i="6"/>
  <c r="U916" i="6"/>
  <c r="T916" i="6"/>
  <c r="H916" i="6"/>
  <c r="G916" i="6"/>
  <c r="F916" i="6"/>
  <c r="E916" i="6"/>
  <c r="C916" i="6"/>
  <c r="D916" i="6"/>
  <c r="B916" i="6"/>
  <c r="D915" i="6"/>
  <c r="AB914" i="6"/>
  <c r="AA914" i="6"/>
  <c r="Z914" i="6"/>
  <c r="Y914" i="6"/>
  <c r="X914" i="6"/>
  <c r="W914" i="6"/>
  <c r="V914" i="6"/>
  <c r="U914" i="6"/>
  <c r="T914" i="6"/>
  <c r="H914" i="6"/>
  <c r="G914" i="6"/>
  <c r="F914" i="6"/>
  <c r="E914" i="6"/>
  <c r="C914" i="6"/>
  <c r="D914" i="6"/>
  <c r="B914" i="6"/>
  <c r="H913" i="6"/>
  <c r="G913" i="6"/>
  <c r="H912" i="6"/>
  <c r="G912" i="6"/>
  <c r="H911" i="6"/>
  <c r="G911" i="6"/>
  <c r="F911" i="6"/>
  <c r="H910" i="6"/>
  <c r="G910" i="6"/>
  <c r="H909" i="6"/>
  <c r="G909" i="6"/>
  <c r="F909" i="6"/>
  <c r="D903" i="6"/>
  <c r="D902" i="6"/>
  <c r="D901" i="6"/>
  <c r="D900" i="6"/>
  <c r="AB899" i="6"/>
  <c r="AA899" i="6"/>
  <c r="Z899" i="6"/>
  <c r="Y899" i="6"/>
  <c r="X899" i="6"/>
  <c r="W899" i="6"/>
  <c r="V899" i="6"/>
  <c r="U899" i="6"/>
  <c r="T899" i="6"/>
  <c r="H899" i="6"/>
  <c r="G899" i="6"/>
  <c r="F899" i="6"/>
  <c r="E899" i="6"/>
  <c r="C899" i="6"/>
  <c r="D899" i="6"/>
  <c r="B899" i="6"/>
  <c r="D898" i="6"/>
  <c r="AB897" i="6"/>
  <c r="AA897" i="6"/>
  <c r="Z897" i="6"/>
  <c r="Y897" i="6"/>
  <c r="X897" i="6"/>
  <c r="W897" i="6"/>
  <c r="V897" i="6"/>
  <c r="U897" i="6"/>
  <c r="T897" i="6"/>
  <c r="H897" i="6"/>
  <c r="G897" i="6"/>
  <c r="F897" i="6"/>
  <c r="E897" i="6"/>
  <c r="C897" i="6"/>
  <c r="D897" i="6"/>
  <c r="B897" i="6"/>
  <c r="D896" i="6"/>
  <c r="AB895" i="6"/>
  <c r="AA895" i="6"/>
  <c r="Z895" i="6"/>
  <c r="Y895" i="6"/>
  <c r="X895" i="6"/>
  <c r="W895" i="6"/>
  <c r="V895" i="6"/>
  <c r="U895" i="6"/>
  <c r="T895" i="6"/>
  <c r="H895" i="6"/>
  <c r="G895" i="6"/>
  <c r="F895" i="6"/>
  <c r="E895" i="6"/>
  <c r="C895" i="6"/>
  <c r="D895" i="6"/>
  <c r="B895" i="6"/>
  <c r="D894" i="6"/>
  <c r="AB893" i="6"/>
  <c r="AA893" i="6"/>
  <c r="Z893" i="6"/>
  <c r="Y893" i="6"/>
  <c r="X893" i="6"/>
  <c r="W893" i="6"/>
  <c r="V893" i="6"/>
  <c r="U893" i="6"/>
  <c r="T893" i="6"/>
  <c r="H893" i="6"/>
  <c r="G893" i="6"/>
  <c r="F893" i="6"/>
  <c r="E893" i="6"/>
  <c r="C893" i="6"/>
  <c r="D893" i="6"/>
  <c r="B893" i="6"/>
  <c r="H892" i="6"/>
  <c r="G892" i="6"/>
  <c r="H891" i="6"/>
  <c r="G891" i="6"/>
  <c r="H890" i="6"/>
  <c r="G890" i="6"/>
  <c r="F890" i="6"/>
  <c r="H889" i="6"/>
  <c r="G889" i="6"/>
  <c r="H888" i="6"/>
  <c r="G888" i="6"/>
  <c r="F888" i="6"/>
  <c r="D882" i="6"/>
  <c r="D881" i="6"/>
  <c r="D880" i="6"/>
  <c r="D879" i="6"/>
  <c r="C878" i="6"/>
  <c r="AB877" i="6"/>
  <c r="AA877" i="6"/>
  <c r="Z877" i="6"/>
  <c r="Y877" i="6"/>
  <c r="X877" i="6"/>
  <c r="W877" i="6"/>
  <c r="V877" i="6"/>
  <c r="U877" i="6"/>
  <c r="T877" i="6"/>
  <c r="H877" i="6"/>
  <c r="G877" i="6"/>
  <c r="F877" i="6"/>
  <c r="E877" i="6"/>
  <c r="C877" i="6"/>
  <c r="D877" i="6"/>
  <c r="B877" i="6"/>
  <c r="D876" i="6"/>
  <c r="AB875" i="6"/>
  <c r="AA875" i="6"/>
  <c r="Z875" i="6"/>
  <c r="Y875" i="6"/>
  <c r="X875" i="6"/>
  <c r="W875" i="6"/>
  <c r="V875" i="6"/>
  <c r="U875" i="6"/>
  <c r="T875" i="6"/>
  <c r="H875" i="6"/>
  <c r="G875" i="6"/>
  <c r="F875" i="6"/>
  <c r="E875" i="6"/>
  <c r="C875" i="6"/>
  <c r="D875" i="6"/>
  <c r="B875" i="6"/>
  <c r="D874" i="6"/>
  <c r="AB873" i="6"/>
  <c r="AA873" i="6"/>
  <c r="Z873" i="6"/>
  <c r="Y873" i="6"/>
  <c r="X873" i="6"/>
  <c r="W873" i="6"/>
  <c r="V873" i="6"/>
  <c r="U873" i="6"/>
  <c r="T873" i="6"/>
  <c r="H873" i="6"/>
  <c r="G873" i="6"/>
  <c r="F873" i="6"/>
  <c r="E873" i="6"/>
  <c r="C873" i="6"/>
  <c r="D873" i="6"/>
  <c r="B873" i="6"/>
  <c r="H872" i="6"/>
  <c r="G872" i="6"/>
  <c r="H871" i="6"/>
  <c r="G871" i="6"/>
  <c r="H870" i="6"/>
  <c r="G870" i="6"/>
  <c r="F870" i="6"/>
  <c r="H869" i="6"/>
  <c r="G869" i="6"/>
  <c r="H868" i="6"/>
  <c r="G868" i="6"/>
  <c r="F868" i="6"/>
  <c r="D862" i="6"/>
  <c r="D861" i="6"/>
  <c r="D860" i="6"/>
  <c r="D859" i="6"/>
  <c r="C858" i="6"/>
  <c r="AB857" i="6"/>
  <c r="AA857" i="6"/>
  <c r="Z857" i="6"/>
  <c r="Y857" i="6"/>
  <c r="X857" i="6"/>
  <c r="W857" i="6"/>
  <c r="V857" i="6"/>
  <c r="U857" i="6"/>
  <c r="T857" i="6"/>
  <c r="H857" i="6"/>
  <c r="G857" i="6"/>
  <c r="F857" i="6"/>
  <c r="E857" i="6"/>
  <c r="C857" i="6"/>
  <c r="D857" i="6"/>
  <c r="B857" i="6"/>
  <c r="D856" i="6"/>
  <c r="AB855" i="6"/>
  <c r="AA855" i="6"/>
  <c r="Z855" i="6"/>
  <c r="Y855" i="6"/>
  <c r="X855" i="6"/>
  <c r="W855" i="6"/>
  <c r="V855" i="6"/>
  <c r="U855" i="6"/>
  <c r="T855" i="6"/>
  <c r="H855" i="6"/>
  <c r="G855" i="6"/>
  <c r="F855" i="6"/>
  <c r="E855" i="6"/>
  <c r="C855" i="6"/>
  <c r="D855" i="6"/>
  <c r="B855" i="6"/>
  <c r="D854" i="6"/>
  <c r="AB853" i="6"/>
  <c r="AA853" i="6"/>
  <c r="Z853" i="6"/>
  <c r="Y853" i="6"/>
  <c r="X853" i="6"/>
  <c r="W853" i="6"/>
  <c r="V853" i="6"/>
  <c r="U853" i="6"/>
  <c r="T853" i="6"/>
  <c r="H853" i="6"/>
  <c r="G853" i="6"/>
  <c r="F853" i="6"/>
  <c r="E853" i="6"/>
  <c r="C853" i="6"/>
  <c r="D853" i="6"/>
  <c r="B853" i="6"/>
  <c r="H852" i="6"/>
  <c r="G852" i="6"/>
  <c r="H851" i="6"/>
  <c r="G851" i="6"/>
  <c r="H850" i="6"/>
  <c r="G850" i="6"/>
  <c r="F850" i="6"/>
  <c r="H849" i="6"/>
  <c r="G849" i="6"/>
  <c r="H848" i="6"/>
  <c r="G848" i="6"/>
  <c r="F848" i="6"/>
  <c r="D842" i="6"/>
  <c r="D841" i="6"/>
  <c r="D840" i="6"/>
  <c r="D839" i="6"/>
  <c r="C838" i="6"/>
  <c r="AB837" i="6"/>
  <c r="AA837" i="6"/>
  <c r="Z837" i="6"/>
  <c r="Y837" i="6"/>
  <c r="X837" i="6"/>
  <c r="W837" i="6"/>
  <c r="V837" i="6"/>
  <c r="U837" i="6"/>
  <c r="T837" i="6"/>
  <c r="H837" i="6"/>
  <c r="G837" i="6"/>
  <c r="F837" i="6"/>
  <c r="E837" i="6"/>
  <c r="C837" i="6"/>
  <c r="D837" i="6"/>
  <c r="B837" i="6"/>
  <c r="A836" i="6"/>
  <c r="H832" i="6"/>
  <c r="C832" i="6"/>
  <c r="H830" i="6"/>
  <c r="G830" i="6"/>
  <c r="H829" i="6"/>
  <c r="G829" i="6"/>
  <c r="F829" i="6"/>
  <c r="H828" i="6"/>
  <c r="G828" i="6"/>
  <c r="F828" i="6"/>
  <c r="D825" i="6"/>
  <c r="AB824" i="6"/>
  <c r="AA824" i="6"/>
  <c r="Z824" i="6"/>
  <c r="Y824" i="6"/>
  <c r="X824" i="6"/>
  <c r="W824" i="6"/>
  <c r="V824" i="6"/>
  <c r="U824" i="6"/>
  <c r="T824" i="6"/>
  <c r="H824" i="6"/>
  <c r="G824" i="6"/>
  <c r="F824" i="6"/>
  <c r="E824" i="6"/>
  <c r="C824" i="6"/>
  <c r="D824" i="6"/>
  <c r="B824" i="6"/>
  <c r="H823" i="6"/>
  <c r="G823" i="6"/>
  <c r="H822" i="6"/>
  <c r="G822" i="6"/>
  <c r="F822" i="6"/>
  <c r="H821" i="6"/>
  <c r="G821" i="6"/>
  <c r="F821" i="6"/>
  <c r="D818" i="6"/>
  <c r="AB817" i="6"/>
  <c r="AA817" i="6"/>
  <c r="Z817" i="6"/>
  <c r="Y817" i="6"/>
  <c r="X817" i="6"/>
  <c r="W817" i="6"/>
  <c r="V817" i="6"/>
  <c r="U817" i="6"/>
  <c r="T817" i="6"/>
  <c r="H817" i="6"/>
  <c r="G817" i="6"/>
  <c r="F817" i="6"/>
  <c r="E817" i="6"/>
  <c r="C817" i="6"/>
  <c r="D817" i="6"/>
  <c r="B817" i="6"/>
  <c r="H816" i="6"/>
  <c r="G816" i="6"/>
  <c r="H815" i="6"/>
  <c r="G815" i="6"/>
  <c r="F815" i="6"/>
  <c r="H814" i="6"/>
  <c r="G814" i="6"/>
  <c r="F814" i="6"/>
  <c r="D811" i="6"/>
  <c r="AB810" i="6"/>
  <c r="AA810" i="6"/>
  <c r="Z810" i="6"/>
  <c r="Y810" i="6"/>
  <c r="X810" i="6"/>
  <c r="W810" i="6"/>
  <c r="V810" i="6"/>
  <c r="U810" i="6"/>
  <c r="T810" i="6"/>
  <c r="H810" i="6"/>
  <c r="G810" i="6"/>
  <c r="F810" i="6"/>
  <c r="E810" i="6"/>
  <c r="C810" i="6"/>
  <c r="D810" i="6"/>
  <c r="B810" i="6"/>
  <c r="A809" i="6"/>
  <c r="H805" i="6"/>
  <c r="C805" i="6"/>
  <c r="D803" i="6"/>
  <c r="AB802" i="6"/>
  <c r="AA802" i="6"/>
  <c r="Z802" i="6"/>
  <c r="Y802" i="6"/>
  <c r="X802" i="6"/>
  <c r="W802" i="6"/>
  <c r="V802" i="6"/>
  <c r="U802" i="6"/>
  <c r="T802" i="6"/>
  <c r="H802" i="6"/>
  <c r="G802" i="6"/>
  <c r="F802" i="6"/>
  <c r="E802" i="6"/>
  <c r="C802" i="6"/>
  <c r="D802" i="6"/>
  <c r="B802" i="6"/>
  <c r="D801" i="6"/>
  <c r="AB800" i="6"/>
  <c r="AA800" i="6"/>
  <c r="Z800" i="6"/>
  <c r="Y800" i="6"/>
  <c r="X800" i="6"/>
  <c r="W800" i="6"/>
  <c r="V800" i="6"/>
  <c r="U800" i="6"/>
  <c r="T800" i="6"/>
  <c r="H800" i="6"/>
  <c r="G800" i="6"/>
  <c r="F800" i="6"/>
  <c r="E800" i="6"/>
  <c r="C800" i="6"/>
  <c r="D800" i="6"/>
  <c r="B800" i="6"/>
  <c r="D799" i="6"/>
  <c r="AB798" i="6"/>
  <c r="AA798" i="6"/>
  <c r="Z798" i="6"/>
  <c r="Y798" i="6"/>
  <c r="X798" i="6"/>
  <c r="W798" i="6"/>
  <c r="V798" i="6"/>
  <c r="U798" i="6"/>
  <c r="T798" i="6"/>
  <c r="H798" i="6"/>
  <c r="G798" i="6"/>
  <c r="F798" i="6"/>
  <c r="E798" i="6"/>
  <c r="C798" i="6"/>
  <c r="D798" i="6"/>
  <c r="B798" i="6"/>
  <c r="H797" i="6"/>
  <c r="G797" i="6"/>
  <c r="H796" i="6"/>
  <c r="G796" i="6"/>
  <c r="F796" i="6"/>
  <c r="H795" i="6"/>
  <c r="G795" i="6"/>
  <c r="F795" i="6"/>
  <c r="D789" i="6"/>
  <c r="D788" i="6"/>
  <c r="D787" i="6"/>
  <c r="D786" i="6"/>
  <c r="AB785" i="6"/>
  <c r="AA785" i="6"/>
  <c r="Z785" i="6"/>
  <c r="Y785" i="6"/>
  <c r="X785" i="6"/>
  <c r="W785" i="6"/>
  <c r="V785" i="6"/>
  <c r="U785" i="6"/>
  <c r="T785" i="6"/>
  <c r="H785" i="6"/>
  <c r="G785" i="6"/>
  <c r="F785" i="6"/>
  <c r="E785" i="6"/>
  <c r="C785" i="6"/>
  <c r="D785" i="6"/>
  <c r="B785" i="6"/>
  <c r="D784" i="6"/>
  <c r="AB783" i="6"/>
  <c r="AA783" i="6"/>
  <c r="Z783" i="6"/>
  <c r="Y783" i="6"/>
  <c r="X783" i="6"/>
  <c r="W783" i="6"/>
  <c r="V783" i="6"/>
  <c r="U783" i="6"/>
  <c r="T783" i="6"/>
  <c r="H783" i="6"/>
  <c r="G783" i="6"/>
  <c r="F783" i="6"/>
  <c r="E783" i="6"/>
  <c r="C783" i="6"/>
  <c r="D783" i="6"/>
  <c r="B783" i="6"/>
  <c r="H782" i="6"/>
  <c r="G782" i="6"/>
  <c r="H781" i="6"/>
  <c r="G781" i="6"/>
  <c r="F781" i="6"/>
  <c r="H780" i="6"/>
  <c r="G780" i="6"/>
  <c r="F780" i="6"/>
  <c r="D774" i="6"/>
  <c r="D773" i="6"/>
  <c r="D772" i="6"/>
  <c r="D771" i="6"/>
  <c r="AB770" i="6"/>
  <c r="AA770" i="6"/>
  <c r="Z770" i="6"/>
  <c r="Y770" i="6"/>
  <c r="X770" i="6"/>
  <c r="W770" i="6"/>
  <c r="V770" i="6"/>
  <c r="U770" i="6"/>
  <c r="T770" i="6"/>
  <c r="H770" i="6"/>
  <c r="G770" i="6"/>
  <c r="F770" i="6"/>
  <c r="E770" i="6"/>
  <c r="C770" i="6"/>
  <c r="D770" i="6"/>
  <c r="B770" i="6"/>
  <c r="H769" i="6"/>
  <c r="G769" i="6"/>
  <c r="H768" i="6"/>
  <c r="G768" i="6"/>
  <c r="F768" i="6"/>
  <c r="H767" i="6"/>
  <c r="G767" i="6"/>
  <c r="F767" i="6"/>
  <c r="D761" i="6"/>
  <c r="D760" i="6"/>
  <c r="D759" i="6"/>
  <c r="D758" i="6"/>
  <c r="C757" i="6"/>
  <c r="AB756" i="6"/>
  <c r="AA756" i="6"/>
  <c r="Z756" i="6"/>
  <c r="Y756" i="6"/>
  <c r="X756" i="6"/>
  <c r="W756" i="6"/>
  <c r="V756" i="6"/>
  <c r="U756" i="6"/>
  <c r="T756" i="6"/>
  <c r="H756" i="6"/>
  <c r="G756" i="6"/>
  <c r="F756" i="6"/>
  <c r="E756" i="6"/>
  <c r="C756" i="6"/>
  <c r="D756" i="6"/>
  <c r="B756" i="6"/>
  <c r="D755" i="6"/>
  <c r="AB754" i="6"/>
  <c r="AA754" i="6"/>
  <c r="Z754" i="6"/>
  <c r="Y754" i="6"/>
  <c r="X754" i="6"/>
  <c r="W754" i="6"/>
  <c r="V754" i="6"/>
  <c r="U754" i="6"/>
  <c r="T754" i="6"/>
  <c r="H754" i="6"/>
  <c r="G754" i="6"/>
  <c r="F754" i="6"/>
  <c r="E754" i="6"/>
  <c r="C754" i="6"/>
  <c r="D754" i="6"/>
  <c r="B754" i="6"/>
  <c r="H753" i="6"/>
  <c r="G753" i="6"/>
  <c r="H752" i="6"/>
  <c r="G752" i="6"/>
  <c r="F752" i="6"/>
  <c r="H751" i="6"/>
  <c r="G751" i="6"/>
  <c r="F751" i="6"/>
  <c r="D745" i="6"/>
  <c r="D744" i="6"/>
  <c r="D743" i="6"/>
  <c r="D742" i="6"/>
  <c r="C741" i="6"/>
  <c r="AB740" i="6"/>
  <c r="AA740" i="6"/>
  <c r="Z740" i="6"/>
  <c r="Y740" i="6"/>
  <c r="X740" i="6"/>
  <c r="W740" i="6"/>
  <c r="V740" i="6"/>
  <c r="U740" i="6"/>
  <c r="T740" i="6"/>
  <c r="H740" i="6"/>
  <c r="G740" i="6"/>
  <c r="F740" i="6"/>
  <c r="E740" i="6"/>
  <c r="C740" i="6"/>
  <c r="D740" i="6"/>
  <c r="B740" i="6"/>
  <c r="H739" i="6"/>
  <c r="G739" i="6"/>
  <c r="H738" i="6"/>
  <c r="G738" i="6"/>
  <c r="F738" i="6"/>
  <c r="H737" i="6"/>
  <c r="G737" i="6"/>
  <c r="F737" i="6"/>
  <c r="D736" i="6"/>
  <c r="D735" i="6"/>
  <c r="D734" i="6"/>
  <c r="D733" i="6"/>
  <c r="C732" i="6"/>
  <c r="AB731" i="6"/>
  <c r="AA731" i="6"/>
  <c r="Z731" i="6"/>
  <c r="Y731" i="6"/>
  <c r="X731" i="6"/>
  <c r="W731" i="6"/>
  <c r="V731" i="6"/>
  <c r="U731" i="6"/>
  <c r="T731" i="6"/>
  <c r="H731" i="6"/>
  <c r="G731" i="6"/>
  <c r="F731" i="6"/>
  <c r="E731" i="6"/>
  <c r="C731" i="6"/>
  <c r="D731" i="6"/>
  <c r="B731" i="6"/>
  <c r="D730" i="6"/>
  <c r="AB729" i="6"/>
  <c r="AA729" i="6"/>
  <c r="Z729" i="6"/>
  <c r="Y729" i="6"/>
  <c r="X729" i="6"/>
  <c r="W729" i="6"/>
  <c r="V729" i="6"/>
  <c r="U729" i="6"/>
  <c r="T729" i="6"/>
  <c r="H729" i="6"/>
  <c r="G729" i="6"/>
  <c r="F729" i="6"/>
  <c r="E729" i="6"/>
  <c r="C729" i="6"/>
  <c r="D729" i="6"/>
  <c r="B729" i="6"/>
  <c r="H728" i="6"/>
  <c r="G728" i="6"/>
  <c r="H727" i="6"/>
  <c r="G727" i="6"/>
  <c r="F727" i="6"/>
  <c r="H726" i="6"/>
  <c r="G726" i="6"/>
  <c r="F726" i="6"/>
  <c r="D720" i="6"/>
  <c r="D719" i="6"/>
  <c r="D718" i="6"/>
  <c r="D717" i="6"/>
  <c r="C716" i="6"/>
  <c r="AB715" i="6"/>
  <c r="AA715" i="6"/>
  <c r="Z715" i="6"/>
  <c r="Y715" i="6"/>
  <c r="X715" i="6"/>
  <c r="W715" i="6"/>
  <c r="V715" i="6"/>
  <c r="U715" i="6"/>
  <c r="T715" i="6"/>
  <c r="H715" i="6"/>
  <c r="G715" i="6"/>
  <c r="F715" i="6"/>
  <c r="E715" i="6"/>
  <c r="C715" i="6"/>
  <c r="D715" i="6"/>
  <c r="B715" i="6"/>
  <c r="D714" i="6"/>
  <c r="AB713" i="6"/>
  <c r="AA713" i="6"/>
  <c r="Z713" i="6"/>
  <c r="Y713" i="6"/>
  <c r="X713" i="6"/>
  <c r="W713" i="6"/>
  <c r="V713" i="6"/>
  <c r="U713" i="6"/>
  <c r="T713" i="6"/>
  <c r="H713" i="6"/>
  <c r="G713" i="6"/>
  <c r="F713" i="6"/>
  <c r="E713" i="6"/>
  <c r="C713" i="6"/>
  <c r="D713" i="6"/>
  <c r="B713" i="6"/>
  <c r="D712" i="6"/>
  <c r="AB711" i="6"/>
  <c r="AA711" i="6"/>
  <c r="Z711" i="6"/>
  <c r="Y711" i="6"/>
  <c r="X711" i="6"/>
  <c r="W711" i="6"/>
  <c r="V711" i="6"/>
  <c r="U711" i="6"/>
  <c r="T711" i="6"/>
  <c r="H711" i="6"/>
  <c r="G711" i="6"/>
  <c r="F711" i="6"/>
  <c r="E711" i="6"/>
  <c r="C711" i="6"/>
  <c r="D711" i="6"/>
  <c r="B711" i="6"/>
  <c r="H710" i="6"/>
  <c r="G710" i="6"/>
  <c r="H709" i="6"/>
  <c r="G709" i="6"/>
  <c r="F709" i="6"/>
  <c r="H708" i="6"/>
  <c r="G708" i="6"/>
  <c r="F708" i="6"/>
  <c r="D702" i="6"/>
  <c r="D701" i="6"/>
  <c r="D700" i="6"/>
  <c r="D699" i="6"/>
  <c r="C698" i="6"/>
  <c r="AB697" i="6"/>
  <c r="AA697" i="6"/>
  <c r="Z697" i="6"/>
  <c r="Y697" i="6"/>
  <c r="X697" i="6"/>
  <c r="W697" i="6"/>
  <c r="V697" i="6"/>
  <c r="U697" i="6"/>
  <c r="T697" i="6"/>
  <c r="H697" i="6"/>
  <c r="G697" i="6"/>
  <c r="F697" i="6"/>
  <c r="E697" i="6"/>
  <c r="C697" i="6"/>
  <c r="D697" i="6"/>
  <c r="B697" i="6"/>
  <c r="D696" i="6"/>
  <c r="AB695" i="6"/>
  <c r="AA695" i="6"/>
  <c r="Z695" i="6"/>
  <c r="Y695" i="6"/>
  <c r="X695" i="6"/>
  <c r="W695" i="6"/>
  <c r="V695" i="6"/>
  <c r="U695" i="6"/>
  <c r="T695" i="6"/>
  <c r="H695" i="6"/>
  <c r="G695" i="6"/>
  <c r="F695" i="6"/>
  <c r="E695" i="6"/>
  <c r="C695" i="6"/>
  <c r="D695" i="6"/>
  <c r="B695" i="6"/>
  <c r="H694" i="6"/>
  <c r="G694" i="6"/>
  <c r="H693" i="6"/>
  <c r="G693" i="6"/>
  <c r="F693" i="6"/>
  <c r="H692" i="6"/>
  <c r="G692" i="6"/>
  <c r="F692" i="6"/>
  <c r="D686" i="6"/>
  <c r="D685" i="6"/>
  <c r="D684" i="6"/>
  <c r="D683" i="6"/>
  <c r="C682" i="6"/>
  <c r="AB681" i="6"/>
  <c r="AA681" i="6"/>
  <c r="Z681" i="6"/>
  <c r="Y681" i="6"/>
  <c r="X681" i="6"/>
  <c r="W681" i="6"/>
  <c r="V681" i="6"/>
  <c r="U681" i="6"/>
  <c r="T681" i="6"/>
  <c r="H681" i="6"/>
  <c r="G681" i="6"/>
  <c r="F681" i="6"/>
  <c r="E681" i="6"/>
  <c r="C681" i="6"/>
  <c r="D681" i="6"/>
  <c r="B681" i="6"/>
  <c r="D680" i="6"/>
  <c r="AB679" i="6"/>
  <c r="AA679" i="6"/>
  <c r="Z679" i="6"/>
  <c r="Y679" i="6"/>
  <c r="X679" i="6"/>
  <c r="W679" i="6"/>
  <c r="V679" i="6"/>
  <c r="U679" i="6"/>
  <c r="T679" i="6"/>
  <c r="H679" i="6"/>
  <c r="G679" i="6"/>
  <c r="F679" i="6"/>
  <c r="E679" i="6"/>
  <c r="C679" i="6"/>
  <c r="D679" i="6"/>
  <c r="B679" i="6"/>
  <c r="H678" i="6"/>
  <c r="G678" i="6"/>
  <c r="H677" i="6"/>
  <c r="G677" i="6"/>
  <c r="F677" i="6"/>
  <c r="H676" i="6"/>
  <c r="G676" i="6"/>
  <c r="F676" i="6"/>
  <c r="D670" i="6"/>
  <c r="D669" i="6"/>
  <c r="D668" i="6"/>
  <c r="D667" i="6"/>
  <c r="C666" i="6"/>
  <c r="AB665" i="6"/>
  <c r="AA665" i="6"/>
  <c r="Z665" i="6"/>
  <c r="Y665" i="6"/>
  <c r="X665" i="6"/>
  <c r="W665" i="6"/>
  <c r="V665" i="6"/>
  <c r="U665" i="6"/>
  <c r="T665" i="6"/>
  <c r="H665" i="6"/>
  <c r="G665" i="6"/>
  <c r="F665" i="6"/>
  <c r="E665" i="6"/>
  <c r="C665" i="6"/>
  <c r="D665" i="6"/>
  <c r="B665" i="6"/>
  <c r="D664" i="6"/>
  <c r="AB663" i="6"/>
  <c r="AA663" i="6"/>
  <c r="Z663" i="6"/>
  <c r="Y663" i="6"/>
  <c r="X663" i="6"/>
  <c r="W663" i="6"/>
  <c r="V663" i="6"/>
  <c r="U663" i="6"/>
  <c r="T663" i="6"/>
  <c r="H663" i="6"/>
  <c r="G663" i="6"/>
  <c r="F663" i="6"/>
  <c r="E663" i="6"/>
  <c r="C663" i="6"/>
  <c r="D663" i="6"/>
  <c r="B663" i="6"/>
  <c r="H662" i="6"/>
  <c r="G662" i="6"/>
  <c r="H661" i="6"/>
  <c r="G661" i="6"/>
  <c r="F661" i="6"/>
  <c r="H660" i="6"/>
  <c r="G660" i="6"/>
  <c r="F660" i="6"/>
  <c r="D654" i="6"/>
  <c r="D653" i="6"/>
  <c r="D652" i="6"/>
  <c r="D651" i="6"/>
  <c r="C650" i="6"/>
  <c r="AB649" i="6"/>
  <c r="AA649" i="6"/>
  <c r="Z649" i="6"/>
  <c r="Y649" i="6"/>
  <c r="X649" i="6"/>
  <c r="W649" i="6"/>
  <c r="V649" i="6"/>
  <c r="U649" i="6"/>
  <c r="T649" i="6"/>
  <c r="H649" i="6"/>
  <c r="G649" i="6"/>
  <c r="F649" i="6"/>
  <c r="E649" i="6"/>
  <c r="C649" i="6"/>
  <c r="D649" i="6"/>
  <c r="B649" i="6"/>
  <c r="D648" i="6"/>
  <c r="AB647" i="6"/>
  <c r="AA647" i="6"/>
  <c r="Z647" i="6"/>
  <c r="Y647" i="6"/>
  <c r="X647" i="6"/>
  <c r="W647" i="6"/>
  <c r="V647" i="6"/>
  <c r="U647" i="6"/>
  <c r="T647" i="6"/>
  <c r="H647" i="6"/>
  <c r="G647" i="6"/>
  <c r="F647" i="6"/>
  <c r="E647" i="6"/>
  <c r="C647" i="6"/>
  <c r="D647" i="6"/>
  <c r="B647" i="6"/>
  <c r="H646" i="6"/>
  <c r="G646" i="6"/>
  <c r="H645" i="6"/>
  <c r="G645" i="6"/>
  <c r="F645" i="6"/>
  <c r="H644" i="6"/>
  <c r="G644" i="6"/>
  <c r="F644" i="6"/>
  <c r="D638" i="6"/>
  <c r="D637" i="6"/>
  <c r="D636" i="6"/>
  <c r="D635" i="6"/>
  <c r="C634" i="6"/>
  <c r="AB633" i="6"/>
  <c r="AA633" i="6"/>
  <c r="Z633" i="6"/>
  <c r="Y633" i="6"/>
  <c r="X633" i="6"/>
  <c r="W633" i="6"/>
  <c r="V633" i="6"/>
  <c r="U633" i="6"/>
  <c r="T633" i="6"/>
  <c r="H633" i="6"/>
  <c r="G633" i="6"/>
  <c r="F633" i="6"/>
  <c r="E633" i="6"/>
  <c r="C633" i="6"/>
  <c r="D633" i="6"/>
  <c r="B633" i="6"/>
  <c r="D632" i="6"/>
  <c r="AB631" i="6"/>
  <c r="AA631" i="6"/>
  <c r="Z631" i="6"/>
  <c r="Y631" i="6"/>
  <c r="X631" i="6"/>
  <c r="W631" i="6"/>
  <c r="V631" i="6"/>
  <c r="U631" i="6"/>
  <c r="T631" i="6"/>
  <c r="H631" i="6"/>
  <c r="G631" i="6"/>
  <c r="F631" i="6"/>
  <c r="E631" i="6"/>
  <c r="C631" i="6"/>
  <c r="D631" i="6"/>
  <c r="B631" i="6"/>
  <c r="H630" i="6"/>
  <c r="G630" i="6"/>
  <c r="H629" i="6"/>
  <c r="G629" i="6"/>
  <c r="F629" i="6"/>
  <c r="H628" i="6"/>
  <c r="G628" i="6"/>
  <c r="F628" i="6"/>
  <c r="D622" i="6"/>
  <c r="D621" i="6"/>
  <c r="D620" i="6"/>
  <c r="D619" i="6"/>
  <c r="C618" i="6"/>
  <c r="AB617" i="6"/>
  <c r="AA617" i="6"/>
  <c r="Z617" i="6"/>
  <c r="Y617" i="6"/>
  <c r="X617" i="6"/>
  <c r="W617" i="6"/>
  <c r="V617" i="6"/>
  <c r="U617" i="6"/>
  <c r="T617" i="6"/>
  <c r="H617" i="6"/>
  <c r="G617" i="6"/>
  <c r="F617" i="6"/>
  <c r="E617" i="6"/>
  <c r="C617" i="6"/>
  <c r="D617" i="6"/>
  <c r="B617" i="6"/>
  <c r="D616" i="6"/>
  <c r="AB615" i="6"/>
  <c r="AA615" i="6"/>
  <c r="Z615" i="6"/>
  <c r="Y615" i="6"/>
  <c r="X615" i="6"/>
  <c r="W615" i="6"/>
  <c r="V615" i="6"/>
  <c r="U615" i="6"/>
  <c r="T615" i="6"/>
  <c r="H615" i="6"/>
  <c r="G615" i="6"/>
  <c r="F615" i="6"/>
  <c r="E615" i="6"/>
  <c r="C615" i="6"/>
  <c r="D615" i="6"/>
  <c r="B615" i="6"/>
  <c r="H614" i="6"/>
  <c r="G614" i="6"/>
  <c r="H613" i="6"/>
  <c r="G613" i="6"/>
  <c r="F613" i="6"/>
  <c r="H612" i="6"/>
  <c r="G612" i="6"/>
  <c r="F612" i="6"/>
  <c r="D606" i="6"/>
  <c r="D605" i="6"/>
  <c r="D604" i="6"/>
  <c r="D603" i="6"/>
  <c r="C602" i="6"/>
  <c r="AB601" i="6"/>
  <c r="AA601" i="6"/>
  <c r="Z601" i="6"/>
  <c r="Y601" i="6"/>
  <c r="X601" i="6"/>
  <c r="W601" i="6"/>
  <c r="V601" i="6"/>
  <c r="U601" i="6"/>
  <c r="T601" i="6"/>
  <c r="H601" i="6"/>
  <c r="G601" i="6"/>
  <c r="F601" i="6"/>
  <c r="E601" i="6"/>
  <c r="C601" i="6"/>
  <c r="D601" i="6"/>
  <c r="B601" i="6"/>
  <c r="H600" i="6"/>
  <c r="G600" i="6"/>
  <c r="H599" i="6"/>
  <c r="G599" i="6"/>
  <c r="F599" i="6"/>
  <c r="H598" i="6"/>
  <c r="G598" i="6"/>
  <c r="F598" i="6"/>
  <c r="D592" i="6"/>
  <c r="D591" i="6"/>
  <c r="D590" i="6"/>
  <c r="D589" i="6"/>
  <c r="AB588" i="6"/>
  <c r="AA588" i="6"/>
  <c r="Z588" i="6"/>
  <c r="Y588" i="6"/>
  <c r="X588" i="6"/>
  <c r="W588" i="6"/>
  <c r="V588" i="6"/>
  <c r="U588" i="6"/>
  <c r="T588" i="6"/>
  <c r="H588" i="6"/>
  <c r="G588" i="6"/>
  <c r="F588" i="6"/>
  <c r="E588" i="6"/>
  <c r="C588" i="6"/>
  <c r="D588" i="6"/>
  <c r="B588" i="6"/>
  <c r="H587" i="6"/>
  <c r="G587" i="6"/>
  <c r="H586" i="6"/>
  <c r="G586" i="6"/>
  <c r="F586" i="6"/>
  <c r="H585" i="6"/>
  <c r="G585" i="6"/>
  <c r="F585" i="6"/>
  <c r="D579" i="6"/>
  <c r="D578" i="6"/>
  <c r="D577" i="6"/>
  <c r="D576" i="6"/>
  <c r="AB575" i="6"/>
  <c r="AA575" i="6"/>
  <c r="Z575" i="6"/>
  <c r="Y575" i="6"/>
  <c r="X575" i="6"/>
  <c r="W575" i="6"/>
  <c r="V575" i="6"/>
  <c r="U575" i="6"/>
  <c r="T575" i="6"/>
  <c r="H575" i="6"/>
  <c r="G575" i="6"/>
  <c r="F575" i="6"/>
  <c r="E575" i="6"/>
  <c r="C575" i="6"/>
  <c r="D575" i="6"/>
  <c r="B575" i="6"/>
  <c r="A574" i="6"/>
  <c r="H570" i="6"/>
  <c r="C570" i="6"/>
  <c r="D568" i="6"/>
  <c r="AB567" i="6"/>
  <c r="AA567" i="6"/>
  <c r="Z567" i="6"/>
  <c r="Y567" i="6"/>
  <c r="X567" i="6"/>
  <c r="W567" i="6"/>
  <c r="V567" i="6"/>
  <c r="U567" i="6"/>
  <c r="T567" i="6"/>
  <c r="H567" i="6"/>
  <c r="G567" i="6"/>
  <c r="F567" i="6"/>
  <c r="E567" i="6"/>
  <c r="C567" i="6"/>
  <c r="D567" i="6"/>
  <c r="B567" i="6"/>
  <c r="D566" i="6"/>
  <c r="AB565" i="6"/>
  <c r="AA565" i="6"/>
  <c r="Z565" i="6"/>
  <c r="Y565" i="6"/>
  <c r="X565" i="6"/>
  <c r="W565" i="6"/>
  <c r="V565" i="6"/>
  <c r="U565" i="6"/>
  <c r="T565" i="6"/>
  <c r="H565" i="6"/>
  <c r="G565" i="6"/>
  <c r="F565" i="6"/>
  <c r="E565" i="6"/>
  <c r="C565" i="6"/>
  <c r="D565" i="6"/>
  <c r="B565" i="6"/>
  <c r="H564" i="6"/>
  <c r="G564" i="6"/>
  <c r="H563" i="6"/>
  <c r="G563" i="6"/>
  <c r="H562" i="6"/>
  <c r="G562" i="6"/>
  <c r="F562" i="6"/>
  <c r="H561" i="6"/>
  <c r="G561" i="6"/>
  <c r="H560" i="6"/>
  <c r="G560" i="6"/>
  <c r="F560" i="6"/>
  <c r="D554" i="6"/>
  <c r="D553" i="6"/>
  <c r="D552" i="6"/>
  <c r="D551" i="6"/>
  <c r="C550" i="6"/>
  <c r="AB549" i="6"/>
  <c r="AA549" i="6"/>
  <c r="Z549" i="6"/>
  <c r="Y549" i="6"/>
  <c r="X549" i="6"/>
  <c r="W549" i="6"/>
  <c r="V549" i="6"/>
  <c r="U549" i="6"/>
  <c r="T549" i="6"/>
  <c r="H549" i="6"/>
  <c r="G549" i="6"/>
  <c r="F549" i="6"/>
  <c r="E549" i="6"/>
  <c r="C549" i="6"/>
  <c r="D549" i="6"/>
  <c r="B549" i="6"/>
  <c r="D548" i="6"/>
  <c r="AB547" i="6"/>
  <c r="AA547" i="6"/>
  <c r="Z547" i="6"/>
  <c r="Y547" i="6"/>
  <c r="X547" i="6"/>
  <c r="W547" i="6"/>
  <c r="V547" i="6"/>
  <c r="U547" i="6"/>
  <c r="T547" i="6"/>
  <c r="H547" i="6"/>
  <c r="G547" i="6"/>
  <c r="F547" i="6"/>
  <c r="E547" i="6"/>
  <c r="C547" i="6"/>
  <c r="D547" i="6"/>
  <c r="B547" i="6"/>
  <c r="D546" i="6"/>
  <c r="AB545" i="6"/>
  <c r="AA545" i="6"/>
  <c r="Z545" i="6"/>
  <c r="Y545" i="6"/>
  <c r="X545" i="6"/>
  <c r="W545" i="6"/>
  <c r="V545" i="6"/>
  <c r="U545" i="6"/>
  <c r="T545" i="6"/>
  <c r="H545" i="6"/>
  <c r="G545" i="6"/>
  <c r="F545" i="6"/>
  <c r="E545" i="6"/>
  <c r="C545" i="6"/>
  <c r="D545" i="6"/>
  <c r="B545" i="6"/>
  <c r="H544" i="6"/>
  <c r="G544" i="6"/>
  <c r="H543" i="6"/>
  <c r="G543" i="6"/>
  <c r="F543" i="6"/>
  <c r="H542" i="6"/>
  <c r="G542" i="6"/>
  <c r="F542" i="6"/>
  <c r="D541" i="6"/>
  <c r="D540" i="6"/>
  <c r="D539" i="6"/>
  <c r="D538" i="6"/>
  <c r="C537" i="6"/>
  <c r="AB536" i="6"/>
  <c r="AA536" i="6"/>
  <c r="Z536" i="6"/>
  <c r="Y536" i="6"/>
  <c r="X536" i="6"/>
  <c r="W536" i="6"/>
  <c r="V536" i="6"/>
  <c r="U536" i="6"/>
  <c r="T536" i="6"/>
  <c r="H536" i="6"/>
  <c r="G536" i="6"/>
  <c r="F536" i="6"/>
  <c r="E536" i="6"/>
  <c r="C536" i="6"/>
  <c r="D536" i="6"/>
  <c r="B536" i="6"/>
  <c r="D535" i="6"/>
  <c r="AB534" i="6"/>
  <c r="AA534" i="6"/>
  <c r="Z534" i="6"/>
  <c r="Y534" i="6"/>
  <c r="X534" i="6"/>
  <c r="W534" i="6"/>
  <c r="V534" i="6"/>
  <c r="U534" i="6"/>
  <c r="T534" i="6"/>
  <c r="H534" i="6"/>
  <c r="G534" i="6"/>
  <c r="F534" i="6"/>
  <c r="E534" i="6"/>
  <c r="C534" i="6"/>
  <c r="D534" i="6"/>
  <c r="B534" i="6"/>
  <c r="D533" i="6"/>
  <c r="AB532" i="6"/>
  <c r="AA532" i="6"/>
  <c r="Z532" i="6"/>
  <c r="Y532" i="6"/>
  <c r="X532" i="6"/>
  <c r="W532" i="6"/>
  <c r="V532" i="6"/>
  <c r="U532" i="6"/>
  <c r="T532" i="6"/>
  <c r="H532" i="6"/>
  <c r="G532" i="6"/>
  <c r="F532" i="6"/>
  <c r="E532" i="6"/>
  <c r="C532" i="6"/>
  <c r="D532" i="6"/>
  <c r="B532" i="6"/>
  <c r="D531" i="6"/>
  <c r="AB530" i="6"/>
  <c r="AA530" i="6"/>
  <c r="Z530" i="6"/>
  <c r="Y530" i="6"/>
  <c r="X530" i="6"/>
  <c r="W530" i="6"/>
  <c r="V530" i="6"/>
  <c r="U530" i="6"/>
  <c r="T530" i="6"/>
  <c r="H530" i="6"/>
  <c r="G530" i="6"/>
  <c r="F530" i="6"/>
  <c r="E530" i="6"/>
  <c r="C530" i="6"/>
  <c r="D530" i="6"/>
  <c r="B530" i="6"/>
  <c r="D529" i="6"/>
  <c r="AB528" i="6"/>
  <c r="AA528" i="6"/>
  <c r="Z528" i="6"/>
  <c r="Y528" i="6"/>
  <c r="X528" i="6"/>
  <c r="W528" i="6"/>
  <c r="V528" i="6"/>
  <c r="U528" i="6"/>
  <c r="T528" i="6"/>
  <c r="H528" i="6"/>
  <c r="G528" i="6"/>
  <c r="F528" i="6"/>
  <c r="E528" i="6"/>
  <c r="C528" i="6"/>
  <c r="D528" i="6"/>
  <c r="B528" i="6"/>
  <c r="D527" i="6"/>
  <c r="AB526" i="6"/>
  <c r="AA526" i="6"/>
  <c r="Z526" i="6"/>
  <c r="Y526" i="6"/>
  <c r="X526" i="6"/>
  <c r="W526" i="6"/>
  <c r="V526" i="6"/>
  <c r="U526" i="6"/>
  <c r="T526" i="6"/>
  <c r="H526" i="6"/>
  <c r="G526" i="6"/>
  <c r="F526" i="6"/>
  <c r="E526" i="6"/>
  <c r="C526" i="6"/>
  <c r="D526" i="6"/>
  <c r="B526" i="6"/>
  <c r="D525" i="6"/>
  <c r="AB524" i="6"/>
  <c r="AA524" i="6"/>
  <c r="Z524" i="6"/>
  <c r="Y524" i="6"/>
  <c r="X524" i="6"/>
  <c r="W524" i="6"/>
  <c r="V524" i="6"/>
  <c r="U524" i="6"/>
  <c r="T524" i="6"/>
  <c r="H524" i="6"/>
  <c r="G524" i="6"/>
  <c r="F524" i="6"/>
  <c r="E524" i="6"/>
  <c r="C524" i="6"/>
  <c r="D524" i="6"/>
  <c r="B524" i="6"/>
  <c r="D523" i="6"/>
  <c r="AB522" i="6"/>
  <c r="AA522" i="6"/>
  <c r="Z522" i="6"/>
  <c r="Y522" i="6"/>
  <c r="X522" i="6"/>
  <c r="W522" i="6"/>
  <c r="V522" i="6"/>
  <c r="U522" i="6"/>
  <c r="T522" i="6"/>
  <c r="H522" i="6"/>
  <c r="G522" i="6"/>
  <c r="F522" i="6"/>
  <c r="E522" i="6"/>
  <c r="C522" i="6"/>
  <c r="D522" i="6"/>
  <c r="B522" i="6"/>
  <c r="D521" i="6"/>
  <c r="AB520" i="6"/>
  <c r="AA520" i="6"/>
  <c r="Z520" i="6"/>
  <c r="Y520" i="6"/>
  <c r="X520" i="6"/>
  <c r="W520" i="6"/>
  <c r="V520" i="6"/>
  <c r="U520" i="6"/>
  <c r="T520" i="6"/>
  <c r="H520" i="6"/>
  <c r="G520" i="6"/>
  <c r="F520" i="6"/>
  <c r="E520" i="6"/>
  <c r="C520" i="6"/>
  <c r="D520" i="6"/>
  <c r="B520" i="6"/>
  <c r="H519" i="6"/>
  <c r="G519" i="6"/>
  <c r="H518" i="6"/>
  <c r="G518" i="6"/>
  <c r="H517" i="6"/>
  <c r="G517" i="6"/>
  <c r="F517" i="6"/>
  <c r="H516" i="6"/>
  <c r="G516" i="6"/>
  <c r="H515" i="6"/>
  <c r="G515" i="6"/>
  <c r="F515" i="6"/>
  <c r="D509" i="6"/>
  <c r="D508" i="6"/>
  <c r="D507" i="6"/>
  <c r="D506" i="6"/>
  <c r="C505" i="6"/>
  <c r="AB504" i="6"/>
  <c r="AA504" i="6"/>
  <c r="Z504" i="6"/>
  <c r="Y504" i="6"/>
  <c r="X504" i="6"/>
  <c r="W504" i="6"/>
  <c r="V504" i="6"/>
  <c r="U504" i="6"/>
  <c r="T504" i="6"/>
  <c r="H504" i="6"/>
  <c r="G504" i="6"/>
  <c r="F504" i="6"/>
  <c r="E504" i="6"/>
  <c r="C504" i="6"/>
  <c r="D504" i="6"/>
  <c r="B504" i="6"/>
  <c r="D503" i="6"/>
  <c r="AB502" i="6"/>
  <c r="AA502" i="6"/>
  <c r="Z502" i="6"/>
  <c r="Y502" i="6"/>
  <c r="X502" i="6"/>
  <c r="W502" i="6"/>
  <c r="V502" i="6"/>
  <c r="U502" i="6"/>
  <c r="T502" i="6"/>
  <c r="H502" i="6"/>
  <c r="G502" i="6"/>
  <c r="F502" i="6"/>
  <c r="E502" i="6"/>
  <c r="C502" i="6"/>
  <c r="D502" i="6"/>
  <c r="B502" i="6"/>
  <c r="D501" i="6"/>
  <c r="AB500" i="6"/>
  <c r="AA500" i="6"/>
  <c r="Z500" i="6"/>
  <c r="Y500" i="6"/>
  <c r="X500" i="6"/>
  <c r="W500" i="6"/>
  <c r="V500" i="6"/>
  <c r="U500" i="6"/>
  <c r="T500" i="6"/>
  <c r="H500" i="6"/>
  <c r="G500" i="6"/>
  <c r="F500" i="6"/>
  <c r="E500" i="6"/>
  <c r="C500" i="6"/>
  <c r="D500" i="6"/>
  <c r="B500" i="6"/>
  <c r="D499" i="6"/>
  <c r="AB498" i="6"/>
  <c r="AA498" i="6"/>
  <c r="Z498" i="6"/>
  <c r="Y498" i="6"/>
  <c r="X498" i="6"/>
  <c r="W498" i="6"/>
  <c r="V498" i="6"/>
  <c r="U498" i="6"/>
  <c r="T498" i="6"/>
  <c r="H498" i="6"/>
  <c r="G498" i="6"/>
  <c r="F498" i="6"/>
  <c r="E498" i="6"/>
  <c r="C498" i="6"/>
  <c r="D498" i="6"/>
  <c r="B498" i="6"/>
  <c r="D497" i="6"/>
  <c r="AB496" i="6"/>
  <c r="AA496" i="6"/>
  <c r="Z496" i="6"/>
  <c r="Y496" i="6"/>
  <c r="X496" i="6"/>
  <c r="W496" i="6"/>
  <c r="V496" i="6"/>
  <c r="U496" i="6"/>
  <c r="T496" i="6"/>
  <c r="H496" i="6"/>
  <c r="G496" i="6"/>
  <c r="F496" i="6"/>
  <c r="E496" i="6"/>
  <c r="C496" i="6"/>
  <c r="D496" i="6"/>
  <c r="B496" i="6"/>
  <c r="D495" i="6"/>
  <c r="AB494" i="6"/>
  <c r="AA494" i="6"/>
  <c r="Z494" i="6"/>
  <c r="Y494" i="6"/>
  <c r="X494" i="6"/>
  <c r="W494" i="6"/>
  <c r="V494" i="6"/>
  <c r="U494" i="6"/>
  <c r="T494" i="6"/>
  <c r="H494" i="6"/>
  <c r="G494" i="6"/>
  <c r="F494" i="6"/>
  <c r="E494" i="6"/>
  <c r="C494" i="6"/>
  <c r="D494" i="6"/>
  <c r="B494" i="6"/>
  <c r="H493" i="6"/>
  <c r="G493" i="6"/>
  <c r="H492" i="6"/>
  <c r="G492" i="6"/>
  <c r="H491" i="6"/>
  <c r="G491" i="6"/>
  <c r="F491" i="6"/>
  <c r="H490" i="6"/>
  <c r="G490" i="6"/>
  <c r="H489" i="6"/>
  <c r="G489" i="6"/>
  <c r="F489" i="6"/>
  <c r="D483" i="6"/>
  <c r="D482" i="6"/>
  <c r="D481" i="6"/>
  <c r="D480" i="6"/>
  <c r="C479" i="6"/>
  <c r="AB478" i="6"/>
  <c r="AA478" i="6"/>
  <c r="Z478" i="6"/>
  <c r="Y478" i="6"/>
  <c r="X478" i="6"/>
  <c r="W478" i="6"/>
  <c r="V478" i="6"/>
  <c r="U478" i="6"/>
  <c r="T478" i="6"/>
  <c r="H478" i="6"/>
  <c r="G478" i="6"/>
  <c r="F478" i="6"/>
  <c r="E478" i="6"/>
  <c r="C478" i="6"/>
  <c r="D478" i="6"/>
  <c r="B478" i="6"/>
  <c r="D477" i="6"/>
  <c r="AB476" i="6"/>
  <c r="AA476" i="6"/>
  <c r="Z476" i="6"/>
  <c r="Y476" i="6"/>
  <c r="X476" i="6"/>
  <c r="W476" i="6"/>
  <c r="V476" i="6"/>
  <c r="U476" i="6"/>
  <c r="T476" i="6"/>
  <c r="H476" i="6"/>
  <c r="G476" i="6"/>
  <c r="F476" i="6"/>
  <c r="E476" i="6"/>
  <c r="C476" i="6"/>
  <c r="D476" i="6"/>
  <c r="B476" i="6"/>
  <c r="D475" i="6"/>
  <c r="AB474" i="6"/>
  <c r="AA474" i="6"/>
  <c r="Z474" i="6"/>
  <c r="Y474" i="6"/>
  <c r="X474" i="6"/>
  <c r="W474" i="6"/>
  <c r="V474" i="6"/>
  <c r="U474" i="6"/>
  <c r="T474" i="6"/>
  <c r="H474" i="6"/>
  <c r="G474" i="6"/>
  <c r="F474" i="6"/>
  <c r="E474" i="6"/>
  <c r="C474" i="6"/>
  <c r="D474" i="6"/>
  <c r="B474" i="6"/>
  <c r="D473" i="6"/>
  <c r="AB472" i="6"/>
  <c r="AA472" i="6"/>
  <c r="Z472" i="6"/>
  <c r="Y472" i="6"/>
  <c r="X472" i="6"/>
  <c r="W472" i="6"/>
  <c r="V472" i="6"/>
  <c r="U472" i="6"/>
  <c r="T472" i="6"/>
  <c r="H472" i="6"/>
  <c r="G472" i="6"/>
  <c r="F472" i="6"/>
  <c r="E472" i="6"/>
  <c r="C472" i="6"/>
  <c r="D472" i="6"/>
  <c r="B472" i="6"/>
  <c r="D471" i="6"/>
  <c r="AB470" i="6"/>
  <c r="AA470" i="6"/>
  <c r="Z470" i="6"/>
  <c r="Y470" i="6"/>
  <c r="X470" i="6"/>
  <c r="W470" i="6"/>
  <c r="V470" i="6"/>
  <c r="U470" i="6"/>
  <c r="T470" i="6"/>
  <c r="H470" i="6"/>
  <c r="G470" i="6"/>
  <c r="F470" i="6"/>
  <c r="E470" i="6"/>
  <c r="C470" i="6"/>
  <c r="D470" i="6"/>
  <c r="B470" i="6"/>
  <c r="D469" i="6"/>
  <c r="AB468" i="6"/>
  <c r="AA468" i="6"/>
  <c r="Z468" i="6"/>
  <c r="Y468" i="6"/>
  <c r="X468" i="6"/>
  <c r="W468" i="6"/>
  <c r="V468" i="6"/>
  <c r="U468" i="6"/>
  <c r="T468" i="6"/>
  <c r="H468" i="6"/>
  <c r="G468" i="6"/>
  <c r="F468" i="6"/>
  <c r="E468" i="6"/>
  <c r="C468" i="6"/>
  <c r="D468" i="6"/>
  <c r="B468" i="6"/>
  <c r="D467" i="6"/>
  <c r="AB466" i="6"/>
  <c r="AA466" i="6"/>
  <c r="Z466" i="6"/>
  <c r="Y466" i="6"/>
  <c r="X466" i="6"/>
  <c r="W466" i="6"/>
  <c r="V466" i="6"/>
  <c r="U466" i="6"/>
  <c r="T466" i="6"/>
  <c r="H466" i="6"/>
  <c r="G466" i="6"/>
  <c r="F466" i="6"/>
  <c r="E466" i="6"/>
  <c r="C466" i="6"/>
  <c r="D466" i="6"/>
  <c r="B466" i="6"/>
  <c r="D465" i="6"/>
  <c r="AB464" i="6"/>
  <c r="AA464" i="6"/>
  <c r="Z464" i="6"/>
  <c r="Y464" i="6"/>
  <c r="X464" i="6"/>
  <c r="W464" i="6"/>
  <c r="V464" i="6"/>
  <c r="U464" i="6"/>
  <c r="T464" i="6"/>
  <c r="H464" i="6"/>
  <c r="G464" i="6"/>
  <c r="F464" i="6"/>
  <c r="E464" i="6"/>
  <c r="C464" i="6"/>
  <c r="D464" i="6"/>
  <c r="B464" i="6"/>
  <c r="D463" i="6"/>
  <c r="AB462" i="6"/>
  <c r="AA462" i="6"/>
  <c r="Z462" i="6"/>
  <c r="Y462" i="6"/>
  <c r="X462" i="6"/>
  <c r="W462" i="6"/>
  <c r="V462" i="6"/>
  <c r="U462" i="6"/>
  <c r="T462" i="6"/>
  <c r="H462" i="6"/>
  <c r="G462" i="6"/>
  <c r="F462" i="6"/>
  <c r="E462" i="6"/>
  <c r="C462" i="6"/>
  <c r="D462" i="6"/>
  <c r="B462" i="6"/>
  <c r="D461" i="6"/>
  <c r="AB460" i="6"/>
  <c r="AA460" i="6"/>
  <c r="Z460" i="6"/>
  <c r="Y460" i="6"/>
  <c r="X460" i="6"/>
  <c r="W460" i="6"/>
  <c r="V460" i="6"/>
  <c r="U460" i="6"/>
  <c r="T460" i="6"/>
  <c r="H460" i="6"/>
  <c r="G460" i="6"/>
  <c r="F460" i="6"/>
  <c r="E460" i="6"/>
  <c r="C460" i="6"/>
  <c r="D460" i="6"/>
  <c r="B460" i="6"/>
  <c r="D459" i="6"/>
  <c r="AB458" i="6"/>
  <c r="AA458" i="6"/>
  <c r="Z458" i="6"/>
  <c r="Y458" i="6"/>
  <c r="X458" i="6"/>
  <c r="W458" i="6"/>
  <c r="V458" i="6"/>
  <c r="U458" i="6"/>
  <c r="T458" i="6"/>
  <c r="H458" i="6"/>
  <c r="G458" i="6"/>
  <c r="F458" i="6"/>
  <c r="E458" i="6"/>
  <c r="C458" i="6"/>
  <c r="D458" i="6"/>
  <c r="B458" i="6"/>
  <c r="D457" i="6"/>
  <c r="AB456" i="6"/>
  <c r="AA456" i="6"/>
  <c r="Z456" i="6"/>
  <c r="Y456" i="6"/>
  <c r="X456" i="6"/>
  <c r="W456" i="6"/>
  <c r="V456" i="6"/>
  <c r="U456" i="6"/>
  <c r="T456" i="6"/>
  <c r="H456" i="6"/>
  <c r="G456" i="6"/>
  <c r="F456" i="6"/>
  <c r="E456" i="6"/>
  <c r="C456" i="6"/>
  <c r="D456" i="6"/>
  <c r="B456" i="6"/>
  <c r="D455" i="6"/>
  <c r="AB454" i="6"/>
  <c r="AA454" i="6"/>
  <c r="Z454" i="6"/>
  <c r="Y454" i="6"/>
  <c r="X454" i="6"/>
  <c r="W454" i="6"/>
  <c r="V454" i="6"/>
  <c r="U454" i="6"/>
  <c r="T454" i="6"/>
  <c r="H454" i="6"/>
  <c r="G454" i="6"/>
  <c r="F454" i="6"/>
  <c r="E454" i="6"/>
  <c r="C454" i="6"/>
  <c r="D454" i="6"/>
  <c r="B454" i="6"/>
  <c r="H453" i="6"/>
  <c r="G453" i="6"/>
  <c r="H452" i="6"/>
  <c r="G452" i="6"/>
  <c r="H451" i="6"/>
  <c r="G451" i="6"/>
  <c r="F451" i="6"/>
  <c r="H450" i="6"/>
  <c r="G450" i="6"/>
  <c r="H449" i="6"/>
  <c r="G449" i="6"/>
  <c r="F449" i="6"/>
  <c r="D443" i="6"/>
  <c r="D442" i="6"/>
  <c r="D441" i="6"/>
  <c r="D440" i="6"/>
  <c r="C439" i="6"/>
  <c r="AB438" i="6"/>
  <c r="AA438" i="6"/>
  <c r="Z438" i="6"/>
  <c r="Y438" i="6"/>
  <c r="X438" i="6"/>
  <c r="W438" i="6"/>
  <c r="V438" i="6"/>
  <c r="U438" i="6"/>
  <c r="T438" i="6"/>
  <c r="H438" i="6"/>
  <c r="G438" i="6"/>
  <c r="F438" i="6"/>
  <c r="E438" i="6"/>
  <c r="C438" i="6"/>
  <c r="D438" i="6"/>
  <c r="B438" i="6"/>
  <c r="D437" i="6"/>
  <c r="AB436" i="6"/>
  <c r="AA436" i="6"/>
  <c r="Z436" i="6"/>
  <c r="Y436" i="6"/>
  <c r="X436" i="6"/>
  <c r="W436" i="6"/>
  <c r="V436" i="6"/>
  <c r="U436" i="6"/>
  <c r="T436" i="6"/>
  <c r="H436" i="6"/>
  <c r="G436" i="6"/>
  <c r="F436" i="6"/>
  <c r="E436" i="6"/>
  <c r="C436" i="6"/>
  <c r="D436" i="6"/>
  <c r="B436" i="6"/>
  <c r="D435" i="6"/>
  <c r="AB434" i="6"/>
  <c r="AA434" i="6"/>
  <c r="Z434" i="6"/>
  <c r="Y434" i="6"/>
  <c r="X434" i="6"/>
  <c r="W434" i="6"/>
  <c r="V434" i="6"/>
  <c r="U434" i="6"/>
  <c r="T434" i="6"/>
  <c r="H434" i="6"/>
  <c r="G434" i="6"/>
  <c r="F434" i="6"/>
  <c r="E434" i="6"/>
  <c r="C434" i="6"/>
  <c r="D434" i="6"/>
  <c r="B434" i="6"/>
  <c r="D433" i="6"/>
  <c r="AB432" i="6"/>
  <c r="AA432" i="6"/>
  <c r="Z432" i="6"/>
  <c r="Y432" i="6"/>
  <c r="X432" i="6"/>
  <c r="W432" i="6"/>
  <c r="V432" i="6"/>
  <c r="U432" i="6"/>
  <c r="T432" i="6"/>
  <c r="H432" i="6"/>
  <c r="G432" i="6"/>
  <c r="F432" i="6"/>
  <c r="E432" i="6"/>
  <c r="C432" i="6"/>
  <c r="D432" i="6"/>
  <c r="B432" i="6"/>
  <c r="D431" i="6"/>
  <c r="AB430" i="6"/>
  <c r="AA430" i="6"/>
  <c r="Z430" i="6"/>
  <c r="Y430" i="6"/>
  <c r="X430" i="6"/>
  <c r="W430" i="6"/>
  <c r="V430" i="6"/>
  <c r="U430" i="6"/>
  <c r="T430" i="6"/>
  <c r="H430" i="6"/>
  <c r="G430" i="6"/>
  <c r="F430" i="6"/>
  <c r="E430" i="6"/>
  <c r="C430" i="6"/>
  <c r="D430" i="6"/>
  <c r="B430" i="6"/>
  <c r="H429" i="6"/>
  <c r="G429" i="6"/>
  <c r="H428" i="6"/>
  <c r="G428" i="6"/>
  <c r="H427" i="6"/>
  <c r="G427" i="6"/>
  <c r="F427" i="6"/>
  <c r="H426" i="6"/>
  <c r="G426" i="6"/>
  <c r="H425" i="6"/>
  <c r="G425" i="6"/>
  <c r="F425" i="6"/>
  <c r="D419" i="6"/>
  <c r="D418" i="6"/>
  <c r="D417" i="6"/>
  <c r="D416" i="6"/>
  <c r="C415" i="6"/>
  <c r="AB414" i="6"/>
  <c r="AA414" i="6"/>
  <c r="Z414" i="6"/>
  <c r="Y414" i="6"/>
  <c r="X414" i="6"/>
  <c r="W414" i="6"/>
  <c r="V414" i="6"/>
  <c r="U414" i="6"/>
  <c r="T414" i="6"/>
  <c r="H414" i="6"/>
  <c r="G414" i="6"/>
  <c r="F414" i="6"/>
  <c r="E414" i="6"/>
  <c r="C414" i="6"/>
  <c r="D414" i="6"/>
  <c r="B414" i="6"/>
  <c r="D413" i="6"/>
  <c r="AB412" i="6"/>
  <c r="AA412" i="6"/>
  <c r="Z412" i="6"/>
  <c r="Y412" i="6"/>
  <c r="X412" i="6"/>
  <c r="W412" i="6"/>
  <c r="V412" i="6"/>
  <c r="U412" i="6"/>
  <c r="T412" i="6"/>
  <c r="H412" i="6"/>
  <c r="G412" i="6"/>
  <c r="F412" i="6"/>
  <c r="E412" i="6"/>
  <c r="D412" i="6"/>
  <c r="B412" i="6"/>
  <c r="D411" i="6"/>
  <c r="AB410" i="6"/>
  <c r="AA410" i="6"/>
  <c r="Z410" i="6"/>
  <c r="Y410" i="6"/>
  <c r="X410" i="6"/>
  <c r="W410" i="6"/>
  <c r="V410" i="6"/>
  <c r="U410" i="6"/>
  <c r="T410" i="6"/>
  <c r="H410" i="6"/>
  <c r="G410" i="6"/>
  <c r="F410" i="6"/>
  <c r="E410" i="6"/>
  <c r="C410" i="6"/>
  <c r="D410" i="6"/>
  <c r="B410" i="6"/>
  <c r="D409" i="6"/>
  <c r="AB408" i="6"/>
  <c r="AA408" i="6"/>
  <c r="Z408" i="6"/>
  <c r="Y408" i="6"/>
  <c r="X408" i="6"/>
  <c r="W408" i="6"/>
  <c r="V408" i="6"/>
  <c r="U408" i="6"/>
  <c r="T408" i="6"/>
  <c r="H408" i="6"/>
  <c r="G408" i="6"/>
  <c r="F408" i="6"/>
  <c r="E408" i="6"/>
  <c r="C408" i="6"/>
  <c r="D408" i="6"/>
  <c r="B408" i="6"/>
  <c r="D407" i="6"/>
  <c r="AB406" i="6"/>
  <c r="AA406" i="6"/>
  <c r="Z406" i="6"/>
  <c r="Y406" i="6"/>
  <c r="X406" i="6"/>
  <c r="W406" i="6"/>
  <c r="V406" i="6"/>
  <c r="U406" i="6"/>
  <c r="T406" i="6"/>
  <c r="H406" i="6"/>
  <c r="G406" i="6"/>
  <c r="F406" i="6"/>
  <c r="E406" i="6"/>
  <c r="D406" i="6"/>
  <c r="B406" i="6"/>
  <c r="H405" i="6"/>
  <c r="G405" i="6"/>
  <c r="H404" i="6"/>
  <c r="G404" i="6"/>
  <c r="H403" i="6"/>
  <c r="G403" i="6"/>
  <c r="F403" i="6"/>
  <c r="H402" i="6"/>
  <c r="G402" i="6"/>
  <c r="H401" i="6"/>
  <c r="G401" i="6"/>
  <c r="F401" i="6"/>
  <c r="D395" i="6"/>
  <c r="D394" i="6"/>
  <c r="D393" i="6"/>
  <c r="D392" i="6"/>
  <c r="C391" i="6"/>
  <c r="AB390" i="6"/>
  <c r="AA390" i="6"/>
  <c r="Z390" i="6"/>
  <c r="Y390" i="6"/>
  <c r="X390" i="6"/>
  <c r="W390" i="6"/>
  <c r="V390" i="6"/>
  <c r="U390" i="6"/>
  <c r="T390" i="6"/>
  <c r="H390" i="6"/>
  <c r="G390" i="6"/>
  <c r="F390" i="6"/>
  <c r="E390" i="6"/>
  <c r="C390" i="6"/>
  <c r="D390" i="6"/>
  <c r="B390" i="6"/>
  <c r="D389" i="6"/>
  <c r="AB388" i="6"/>
  <c r="AA388" i="6"/>
  <c r="Z388" i="6"/>
  <c r="Y388" i="6"/>
  <c r="X388" i="6"/>
  <c r="W388" i="6"/>
  <c r="V388" i="6"/>
  <c r="U388" i="6"/>
  <c r="T388" i="6"/>
  <c r="H388" i="6"/>
  <c r="G388" i="6"/>
  <c r="F388" i="6"/>
  <c r="E388" i="6"/>
  <c r="C388" i="6"/>
  <c r="D388" i="6"/>
  <c r="B388" i="6"/>
  <c r="D387" i="6"/>
  <c r="AB386" i="6"/>
  <c r="AA386" i="6"/>
  <c r="Z386" i="6"/>
  <c r="Y386" i="6"/>
  <c r="X386" i="6"/>
  <c r="W386" i="6"/>
  <c r="V386" i="6"/>
  <c r="U386" i="6"/>
  <c r="T386" i="6"/>
  <c r="H386" i="6"/>
  <c r="G386" i="6"/>
  <c r="F386" i="6"/>
  <c r="E386" i="6"/>
  <c r="C386" i="6"/>
  <c r="D386" i="6"/>
  <c r="B386" i="6"/>
  <c r="D385" i="6"/>
  <c r="AB384" i="6"/>
  <c r="AA384" i="6"/>
  <c r="Z384" i="6"/>
  <c r="Y384" i="6"/>
  <c r="X384" i="6"/>
  <c r="W384" i="6"/>
  <c r="V384" i="6"/>
  <c r="U384" i="6"/>
  <c r="T384" i="6"/>
  <c r="H384" i="6"/>
  <c r="G384" i="6"/>
  <c r="F384" i="6"/>
  <c r="E384" i="6"/>
  <c r="C384" i="6"/>
  <c r="D384" i="6"/>
  <c r="B384" i="6"/>
  <c r="D383" i="6"/>
  <c r="AB382" i="6"/>
  <c r="AA382" i="6"/>
  <c r="Z382" i="6"/>
  <c r="Y382" i="6"/>
  <c r="X382" i="6"/>
  <c r="W382" i="6"/>
  <c r="V382" i="6"/>
  <c r="U382" i="6"/>
  <c r="T382" i="6"/>
  <c r="H382" i="6"/>
  <c r="G382" i="6"/>
  <c r="F382" i="6"/>
  <c r="E382" i="6"/>
  <c r="C382" i="6"/>
  <c r="D382" i="6"/>
  <c r="B382" i="6"/>
  <c r="H381" i="6"/>
  <c r="G381" i="6"/>
  <c r="H380" i="6"/>
  <c r="G380" i="6"/>
  <c r="H379" i="6"/>
  <c r="G379" i="6"/>
  <c r="F379" i="6"/>
  <c r="H378" i="6"/>
  <c r="G378" i="6"/>
  <c r="H377" i="6"/>
  <c r="G377" i="6"/>
  <c r="F377" i="6"/>
  <c r="D371" i="6"/>
  <c r="D370" i="6"/>
  <c r="D369" i="6"/>
  <c r="D368" i="6"/>
  <c r="C367" i="6"/>
  <c r="AB366" i="6"/>
  <c r="AA366" i="6"/>
  <c r="Z366" i="6"/>
  <c r="Y366" i="6"/>
  <c r="X366" i="6"/>
  <c r="W366" i="6"/>
  <c r="V366" i="6"/>
  <c r="U366" i="6"/>
  <c r="T366" i="6"/>
  <c r="H366" i="6"/>
  <c r="G366" i="6"/>
  <c r="F366" i="6"/>
  <c r="E366" i="6"/>
  <c r="C366" i="6"/>
  <c r="D366" i="6"/>
  <c r="B366" i="6"/>
  <c r="H365" i="6"/>
  <c r="G365" i="6"/>
  <c r="H364" i="6"/>
  <c r="G364" i="6"/>
  <c r="H363" i="6"/>
  <c r="G363" i="6"/>
  <c r="F363" i="6"/>
  <c r="H362" i="6"/>
  <c r="G362" i="6"/>
  <c r="H361" i="6"/>
  <c r="G361" i="6"/>
  <c r="F361" i="6"/>
  <c r="D355" i="6"/>
  <c r="D354" i="6"/>
  <c r="D353" i="6"/>
  <c r="D352" i="6"/>
  <c r="C351" i="6"/>
  <c r="AB350" i="6"/>
  <c r="AA350" i="6"/>
  <c r="Z350" i="6"/>
  <c r="Y350" i="6"/>
  <c r="X350" i="6"/>
  <c r="W350" i="6"/>
  <c r="V350" i="6"/>
  <c r="U350" i="6"/>
  <c r="T350" i="6"/>
  <c r="H350" i="6"/>
  <c r="G350" i="6"/>
  <c r="F350" i="6"/>
  <c r="E350" i="6"/>
  <c r="C350" i="6"/>
  <c r="D350" i="6"/>
  <c r="B350" i="6"/>
  <c r="D349" i="6"/>
  <c r="AB348" i="6"/>
  <c r="AA348" i="6"/>
  <c r="Z348" i="6"/>
  <c r="Y348" i="6"/>
  <c r="X348" i="6"/>
  <c r="W348" i="6"/>
  <c r="V348" i="6"/>
  <c r="U348" i="6"/>
  <c r="T348" i="6"/>
  <c r="H348" i="6"/>
  <c r="G348" i="6"/>
  <c r="F348" i="6"/>
  <c r="E348" i="6"/>
  <c r="C348" i="6"/>
  <c r="D348" i="6"/>
  <c r="B348" i="6"/>
  <c r="D347" i="6"/>
  <c r="AB346" i="6"/>
  <c r="AA346" i="6"/>
  <c r="Z346" i="6"/>
  <c r="Y346" i="6"/>
  <c r="X346" i="6"/>
  <c r="W346" i="6"/>
  <c r="V346" i="6"/>
  <c r="U346" i="6"/>
  <c r="T346" i="6"/>
  <c r="H346" i="6"/>
  <c r="G346" i="6"/>
  <c r="F346" i="6"/>
  <c r="E346" i="6"/>
  <c r="C346" i="6"/>
  <c r="D346" i="6"/>
  <c r="B346" i="6"/>
  <c r="H345" i="6"/>
  <c r="G345" i="6"/>
  <c r="H344" i="6"/>
  <c r="G344" i="6"/>
  <c r="H343" i="6"/>
  <c r="G343" i="6"/>
  <c r="F343" i="6"/>
  <c r="H342" i="6"/>
  <c r="G342" i="6"/>
  <c r="H341" i="6"/>
  <c r="G341" i="6"/>
  <c r="F341" i="6"/>
  <c r="D335" i="6"/>
  <c r="D334" i="6"/>
  <c r="D333" i="6"/>
  <c r="D332" i="6"/>
  <c r="C331" i="6"/>
  <c r="AB330" i="6"/>
  <c r="AA330" i="6"/>
  <c r="Z330" i="6"/>
  <c r="Y330" i="6"/>
  <c r="X330" i="6"/>
  <c r="W330" i="6"/>
  <c r="V330" i="6"/>
  <c r="U330" i="6"/>
  <c r="T330" i="6"/>
  <c r="H330" i="6"/>
  <c r="G330" i="6"/>
  <c r="F330" i="6"/>
  <c r="E330" i="6"/>
  <c r="C330" i="6"/>
  <c r="D330" i="6"/>
  <c r="B330" i="6"/>
  <c r="D329" i="6"/>
  <c r="AB328" i="6"/>
  <c r="AA328" i="6"/>
  <c r="Z328" i="6"/>
  <c r="Y328" i="6"/>
  <c r="X328" i="6"/>
  <c r="W328" i="6"/>
  <c r="V328" i="6"/>
  <c r="U328" i="6"/>
  <c r="T328" i="6"/>
  <c r="H328" i="6"/>
  <c r="G328" i="6"/>
  <c r="F328" i="6"/>
  <c r="E328" i="6"/>
  <c r="C328" i="6"/>
  <c r="D328" i="6"/>
  <c r="B328" i="6"/>
  <c r="D327" i="6"/>
  <c r="AB326" i="6"/>
  <c r="AA326" i="6"/>
  <c r="Z326" i="6"/>
  <c r="Y326" i="6"/>
  <c r="X326" i="6"/>
  <c r="W326" i="6"/>
  <c r="V326" i="6"/>
  <c r="U326" i="6"/>
  <c r="T326" i="6"/>
  <c r="H326" i="6"/>
  <c r="G326" i="6"/>
  <c r="F326" i="6"/>
  <c r="E326" i="6"/>
  <c r="C326" i="6"/>
  <c r="D326" i="6"/>
  <c r="B326" i="6"/>
  <c r="H325" i="6"/>
  <c r="G325" i="6"/>
  <c r="H324" i="6"/>
  <c r="G324" i="6"/>
  <c r="F324" i="6"/>
  <c r="H323" i="6"/>
  <c r="G323" i="6"/>
  <c r="F323" i="6"/>
  <c r="D322" i="6"/>
  <c r="D321" i="6"/>
  <c r="D320" i="6"/>
  <c r="D319" i="6"/>
  <c r="C318" i="6"/>
  <c r="AB317" i="6"/>
  <c r="AA317" i="6"/>
  <c r="Z317" i="6"/>
  <c r="Y317" i="6"/>
  <c r="X317" i="6"/>
  <c r="W317" i="6"/>
  <c r="V317" i="6"/>
  <c r="U317" i="6"/>
  <c r="T317" i="6"/>
  <c r="H317" i="6"/>
  <c r="G317" i="6"/>
  <c r="F317" i="6"/>
  <c r="E317" i="6"/>
  <c r="C317" i="6"/>
  <c r="D317" i="6"/>
  <c r="B317" i="6"/>
  <c r="D316" i="6"/>
  <c r="AB315" i="6"/>
  <c r="AA315" i="6"/>
  <c r="Z315" i="6"/>
  <c r="Y315" i="6"/>
  <c r="X315" i="6"/>
  <c r="W315" i="6"/>
  <c r="V315" i="6"/>
  <c r="U315" i="6"/>
  <c r="T315" i="6"/>
  <c r="H315" i="6"/>
  <c r="G315" i="6"/>
  <c r="F315" i="6"/>
  <c r="E315" i="6"/>
  <c r="C315" i="6"/>
  <c r="D315" i="6"/>
  <c r="B315" i="6"/>
  <c r="D314" i="6"/>
  <c r="AB313" i="6"/>
  <c r="AA313" i="6"/>
  <c r="Z313" i="6"/>
  <c r="Y313" i="6"/>
  <c r="X313" i="6"/>
  <c r="W313" i="6"/>
  <c r="V313" i="6"/>
  <c r="U313" i="6"/>
  <c r="T313" i="6"/>
  <c r="H313" i="6"/>
  <c r="G313" i="6"/>
  <c r="F313" i="6"/>
  <c r="E313" i="6"/>
  <c r="C313" i="6"/>
  <c r="D313" i="6"/>
  <c r="B313" i="6"/>
  <c r="H312" i="6"/>
  <c r="G312" i="6"/>
  <c r="H311" i="6"/>
  <c r="G311" i="6"/>
  <c r="F311" i="6"/>
  <c r="H310" i="6"/>
  <c r="G310" i="6"/>
  <c r="F310" i="6"/>
  <c r="D309" i="6"/>
  <c r="D308" i="6"/>
  <c r="D307" i="6"/>
  <c r="D306" i="6"/>
  <c r="C305" i="6"/>
  <c r="AB304" i="6"/>
  <c r="AA304" i="6"/>
  <c r="Z304" i="6"/>
  <c r="Y304" i="6"/>
  <c r="X304" i="6"/>
  <c r="W304" i="6"/>
  <c r="V304" i="6"/>
  <c r="U304" i="6"/>
  <c r="T304" i="6"/>
  <c r="H304" i="6"/>
  <c r="G304" i="6"/>
  <c r="F304" i="6"/>
  <c r="E304" i="6"/>
  <c r="C304" i="6"/>
  <c r="D304" i="6"/>
  <c r="B304" i="6"/>
  <c r="D303" i="6"/>
  <c r="AB302" i="6"/>
  <c r="AA302" i="6"/>
  <c r="Z302" i="6"/>
  <c r="Y302" i="6"/>
  <c r="X302" i="6"/>
  <c r="W302" i="6"/>
  <c r="V302" i="6"/>
  <c r="U302" i="6"/>
  <c r="T302" i="6"/>
  <c r="H302" i="6"/>
  <c r="G302" i="6"/>
  <c r="F302" i="6"/>
  <c r="E302" i="6"/>
  <c r="C302" i="6"/>
  <c r="D302" i="6"/>
  <c r="B302" i="6"/>
  <c r="D301" i="6"/>
  <c r="AB300" i="6"/>
  <c r="AA300" i="6"/>
  <c r="Z300" i="6"/>
  <c r="Y300" i="6"/>
  <c r="X300" i="6"/>
  <c r="W300" i="6"/>
  <c r="V300" i="6"/>
  <c r="U300" i="6"/>
  <c r="T300" i="6"/>
  <c r="H300" i="6"/>
  <c r="G300" i="6"/>
  <c r="F300" i="6"/>
  <c r="E300" i="6"/>
  <c r="C300" i="6"/>
  <c r="D300" i="6"/>
  <c r="B300" i="6"/>
  <c r="H299" i="6"/>
  <c r="G299" i="6"/>
  <c r="H298" i="6"/>
  <c r="G298" i="6"/>
  <c r="H297" i="6"/>
  <c r="G297" i="6"/>
  <c r="F297" i="6"/>
  <c r="H296" i="6"/>
  <c r="G296" i="6"/>
  <c r="H295" i="6"/>
  <c r="G295" i="6"/>
  <c r="F295" i="6"/>
  <c r="D289" i="6"/>
  <c r="D288" i="6"/>
  <c r="D287" i="6"/>
  <c r="D286" i="6"/>
  <c r="C285" i="6"/>
  <c r="AB284" i="6"/>
  <c r="AA284" i="6"/>
  <c r="Z284" i="6"/>
  <c r="Y284" i="6"/>
  <c r="X284" i="6"/>
  <c r="W284" i="6"/>
  <c r="V284" i="6"/>
  <c r="U284" i="6"/>
  <c r="T284" i="6"/>
  <c r="H284" i="6"/>
  <c r="G284" i="6"/>
  <c r="F284" i="6"/>
  <c r="E284" i="6"/>
  <c r="C284" i="6"/>
  <c r="D284" i="6"/>
  <c r="B284" i="6"/>
  <c r="H283" i="6"/>
  <c r="G283" i="6"/>
  <c r="H282" i="6"/>
  <c r="G282" i="6"/>
  <c r="F282" i="6"/>
  <c r="H281" i="6"/>
  <c r="G281" i="6"/>
  <c r="F281" i="6"/>
  <c r="D280" i="6"/>
  <c r="D279" i="6"/>
  <c r="D278" i="6"/>
  <c r="D277" i="6"/>
  <c r="C276" i="6"/>
  <c r="AB275" i="6"/>
  <c r="AA275" i="6"/>
  <c r="Z275" i="6"/>
  <c r="Y275" i="6"/>
  <c r="X275" i="6"/>
  <c r="W275" i="6"/>
  <c r="V275" i="6"/>
  <c r="U275" i="6"/>
  <c r="T275" i="6"/>
  <c r="H275" i="6"/>
  <c r="G275" i="6"/>
  <c r="F275" i="6"/>
  <c r="E275" i="6"/>
  <c r="C275" i="6"/>
  <c r="D275" i="6"/>
  <c r="B275" i="6"/>
  <c r="H274" i="6"/>
  <c r="G274" i="6"/>
  <c r="H273" i="6"/>
  <c r="G273" i="6"/>
  <c r="F273" i="6"/>
  <c r="H272" i="6"/>
  <c r="G272" i="6"/>
  <c r="F272" i="6"/>
  <c r="D271" i="6"/>
  <c r="D270" i="6"/>
  <c r="D269" i="6"/>
  <c r="D268" i="6"/>
  <c r="C267" i="6"/>
  <c r="AB266" i="6"/>
  <c r="AA266" i="6"/>
  <c r="Z266" i="6"/>
  <c r="Y266" i="6"/>
  <c r="X266" i="6"/>
  <c r="W266" i="6"/>
  <c r="V266" i="6"/>
  <c r="U266" i="6"/>
  <c r="T266" i="6"/>
  <c r="H266" i="6"/>
  <c r="G266" i="6"/>
  <c r="F266" i="6"/>
  <c r="E266" i="6"/>
  <c r="C266" i="6"/>
  <c r="D266" i="6"/>
  <c r="B266" i="6"/>
  <c r="D265" i="6"/>
  <c r="AB264" i="6"/>
  <c r="AA264" i="6"/>
  <c r="Z264" i="6"/>
  <c r="Y264" i="6"/>
  <c r="X264" i="6"/>
  <c r="W264" i="6"/>
  <c r="V264" i="6"/>
  <c r="U264" i="6"/>
  <c r="T264" i="6"/>
  <c r="H264" i="6"/>
  <c r="G264" i="6"/>
  <c r="F264" i="6"/>
  <c r="E264" i="6"/>
  <c r="C264" i="6"/>
  <c r="D264" i="6"/>
  <c r="B264" i="6"/>
  <c r="D263" i="6"/>
  <c r="AB262" i="6"/>
  <c r="AA262" i="6"/>
  <c r="Z262" i="6"/>
  <c r="Y262" i="6"/>
  <c r="X262" i="6"/>
  <c r="W262" i="6"/>
  <c r="V262" i="6"/>
  <c r="U262" i="6"/>
  <c r="T262" i="6"/>
  <c r="H262" i="6"/>
  <c r="G262" i="6"/>
  <c r="F262" i="6"/>
  <c r="E262" i="6"/>
  <c r="C262" i="6"/>
  <c r="D262" i="6"/>
  <c r="B262" i="6"/>
  <c r="H261" i="6"/>
  <c r="G261" i="6"/>
  <c r="H260" i="6"/>
  <c r="G260" i="6"/>
  <c r="H259" i="6"/>
  <c r="G259" i="6"/>
  <c r="F259" i="6"/>
  <c r="H258" i="6"/>
  <c r="G258" i="6"/>
  <c r="H257" i="6"/>
  <c r="G257" i="6"/>
  <c r="F257" i="6"/>
  <c r="D251" i="6"/>
  <c r="D250" i="6"/>
  <c r="D249" i="6"/>
  <c r="D248" i="6"/>
  <c r="C247" i="6"/>
  <c r="AB246" i="6"/>
  <c r="AA246" i="6"/>
  <c r="Z246" i="6"/>
  <c r="Y246" i="6"/>
  <c r="X246" i="6"/>
  <c r="W246" i="6"/>
  <c r="V246" i="6"/>
  <c r="U246" i="6"/>
  <c r="T246" i="6"/>
  <c r="H246" i="6"/>
  <c r="G246" i="6"/>
  <c r="F246" i="6"/>
  <c r="E246" i="6"/>
  <c r="C246" i="6"/>
  <c r="D246" i="6"/>
  <c r="B246" i="6"/>
  <c r="D245" i="6"/>
  <c r="AB244" i="6"/>
  <c r="AA244" i="6"/>
  <c r="Z244" i="6"/>
  <c r="Y244" i="6"/>
  <c r="X244" i="6"/>
  <c r="W244" i="6"/>
  <c r="V244" i="6"/>
  <c r="U244" i="6"/>
  <c r="T244" i="6"/>
  <c r="H244" i="6"/>
  <c r="G244" i="6"/>
  <c r="F244" i="6"/>
  <c r="E244" i="6"/>
  <c r="C244" i="6"/>
  <c r="D244" i="6"/>
  <c r="B244" i="6"/>
  <c r="D243" i="6"/>
  <c r="AB242" i="6"/>
  <c r="AA242" i="6"/>
  <c r="Z242" i="6"/>
  <c r="Y242" i="6"/>
  <c r="X242" i="6"/>
  <c r="W242" i="6"/>
  <c r="V242" i="6"/>
  <c r="U242" i="6"/>
  <c r="T242" i="6"/>
  <c r="H242" i="6"/>
  <c r="G242" i="6"/>
  <c r="F242" i="6"/>
  <c r="E242" i="6"/>
  <c r="C242" i="6"/>
  <c r="D242" i="6"/>
  <c r="B242" i="6"/>
  <c r="D241" i="6"/>
  <c r="AB240" i="6"/>
  <c r="AA240" i="6"/>
  <c r="Z240" i="6"/>
  <c r="Y240" i="6"/>
  <c r="X240" i="6"/>
  <c r="W240" i="6"/>
  <c r="V240" i="6"/>
  <c r="U240" i="6"/>
  <c r="T240" i="6"/>
  <c r="H240" i="6"/>
  <c r="G240" i="6"/>
  <c r="F240" i="6"/>
  <c r="E240" i="6"/>
  <c r="C240" i="6"/>
  <c r="D240" i="6"/>
  <c r="B240" i="6"/>
  <c r="H239" i="6"/>
  <c r="G239" i="6"/>
  <c r="H238" i="6"/>
  <c r="G238" i="6"/>
  <c r="H237" i="6"/>
  <c r="G237" i="6"/>
  <c r="F237" i="6"/>
  <c r="H236" i="6"/>
  <c r="G236" i="6"/>
  <c r="H235" i="6"/>
  <c r="G235" i="6"/>
  <c r="F235" i="6"/>
  <c r="D229" i="6"/>
  <c r="D228" i="6"/>
  <c r="D227" i="6"/>
  <c r="D226" i="6"/>
  <c r="C225" i="6"/>
  <c r="AB224" i="6"/>
  <c r="AA224" i="6"/>
  <c r="Z224" i="6"/>
  <c r="Y224" i="6"/>
  <c r="X224" i="6"/>
  <c r="W224" i="6"/>
  <c r="V224" i="6"/>
  <c r="U224" i="6"/>
  <c r="T224" i="6"/>
  <c r="H224" i="6"/>
  <c r="G224" i="6"/>
  <c r="F224" i="6"/>
  <c r="E224" i="6"/>
  <c r="C224" i="6"/>
  <c r="D224" i="6"/>
  <c r="B224" i="6"/>
  <c r="A223" i="6"/>
  <c r="H219" i="6"/>
  <c r="C219" i="6"/>
  <c r="H217" i="6"/>
  <c r="G217" i="6"/>
  <c r="H216" i="6"/>
  <c r="G216" i="6"/>
  <c r="F216" i="6"/>
  <c r="H215" i="6"/>
  <c r="G215" i="6"/>
  <c r="F215" i="6"/>
  <c r="D214" i="6"/>
  <c r="D213" i="6"/>
  <c r="D212" i="6"/>
  <c r="D211" i="6"/>
  <c r="C210" i="6"/>
  <c r="AB209" i="6"/>
  <c r="AA209" i="6"/>
  <c r="Z209" i="6"/>
  <c r="Y209" i="6"/>
  <c r="X209" i="6"/>
  <c r="W209" i="6"/>
  <c r="V209" i="6"/>
  <c r="U209" i="6"/>
  <c r="T209" i="6"/>
  <c r="H209" i="6"/>
  <c r="G209" i="6"/>
  <c r="F209" i="6"/>
  <c r="E209" i="6"/>
  <c r="C209" i="6"/>
  <c r="D209" i="6"/>
  <c r="B209" i="6"/>
  <c r="H208" i="6"/>
  <c r="G208" i="6"/>
  <c r="H207" i="6"/>
  <c r="G207" i="6"/>
  <c r="F207" i="6"/>
  <c r="H206" i="6"/>
  <c r="G206" i="6"/>
  <c r="F206" i="6"/>
  <c r="D204" i="6"/>
  <c r="D203" i="6"/>
  <c r="D202" i="6"/>
  <c r="D201" i="6"/>
  <c r="C200" i="6"/>
  <c r="AB199" i="6"/>
  <c r="AA199" i="6"/>
  <c r="Z199" i="6"/>
  <c r="Y199" i="6"/>
  <c r="X199" i="6"/>
  <c r="W199" i="6"/>
  <c r="V199" i="6"/>
  <c r="U199" i="6"/>
  <c r="T199" i="6"/>
  <c r="H199" i="6"/>
  <c r="G199" i="6"/>
  <c r="F199" i="6"/>
  <c r="E199" i="6"/>
  <c r="C199" i="6"/>
  <c r="D199" i="6"/>
  <c r="B199" i="6"/>
  <c r="H198" i="6"/>
  <c r="G198" i="6"/>
  <c r="H197" i="6"/>
  <c r="G197" i="6"/>
  <c r="F197" i="6"/>
  <c r="H196" i="6"/>
  <c r="G196" i="6"/>
  <c r="F196" i="6"/>
  <c r="D195" i="6"/>
  <c r="D194" i="6"/>
  <c r="D193" i="6"/>
  <c r="D192" i="6"/>
  <c r="C191" i="6"/>
  <c r="AB190" i="6"/>
  <c r="AA190" i="6"/>
  <c r="Z190" i="6"/>
  <c r="Y190" i="6"/>
  <c r="X190" i="6"/>
  <c r="W190" i="6"/>
  <c r="V190" i="6"/>
  <c r="U190" i="6"/>
  <c r="T190" i="6"/>
  <c r="H190" i="6"/>
  <c r="G190" i="6"/>
  <c r="F190" i="6"/>
  <c r="E190" i="6"/>
  <c r="C190" i="6"/>
  <c r="D190" i="6"/>
  <c r="B190" i="6"/>
  <c r="D189" i="6"/>
  <c r="AB188" i="6"/>
  <c r="AA188" i="6"/>
  <c r="Z188" i="6"/>
  <c r="Y188" i="6"/>
  <c r="X188" i="6"/>
  <c r="W188" i="6"/>
  <c r="V188" i="6"/>
  <c r="U188" i="6"/>
  <c r="T188" i="6"/>
  <c r="H188" i="6"/>
  <c r="G188" i="6"/>
  <c r="F188" i="6"/>
  <c r="E188" i="6"/>
  <c r="C188" i="6"/>
  <c r="D188" i="6"/>
  <c r="B188" i="6"/>
  <c r="H187" i="6"/>
  <c r="G187" i="6"/>
  <c r="H186" i="6"/>
  <c r="G186" i="6"/>
  <c r="F186" i="6"/>
  <c r="H185" i="6"/>
  <c r="G185" i="6"/>
  <c r="F185" i="6"/>
  <c r="D184" i="6"/>
  <c r="D183" i="6"/>
  <c r="D182" i="6"/>
  <c r="D181" i="6"/>
  <c r="C180" i="6"/>
  <c r="AB179" i="6"/>
  <c r="AA179" i="6"/>
  <c r="Z179" i="6"/>
  <c r="Y179" i="6"/>
  <c r="X179" i="6"/>
  <c r="W179" i="6"/>
  <c r="V179" i="6"/>
  <c r="U179" i="6"/>
  <c r="T179" i="6"/>
  <c r="H179" i="6"/>
  <c r="G179" i="6"/>
  <c r="F179" i="6"/>
  <c r="E179" i="6"/>
  <c r="C179" i="6"/>
  <c r="D179" i="6"/>
  <c r="B179" i="6"/>
  <c r="H178" i="6"/>
  <c r="G178" i="6"/>
  <c r="H177" i="6"/>
  <c r="G177" i="6"/>
  <c r="F177" i="6"/>
  <c r="H176" i="6"/>
  <c r="G176" i="6"/>
  <c r="F176" i="6"/>
  <c r="D175" i="6"/>
  <c r="D174" i="6"/>
  <c r="D173" i="6"/>
  <c r="D172" i="6"/>
  <c r="C171" i="6"/>
  <c r="AB170" i="6"/>
  <c r="AA170" i="6"/>
  <c r="Z170" i="6"/>
  <c r="Y170" i="6"/>
  <c r="X170" i="6"/>
  <c r="W170" i="6"/>
  <c r="V170" i="6"/>
  <c r="U170" i="6"/>
  <c r="T170" i="6"/>
  <c r="H170" i="6"/>
  <c r="G170" i="6"/>
  <c r="F170" i="6"/>
  <c r="E170" i="6"/>
  <c r="C170" i="6"/>
  <c r="D170" i="6"/>
  <c r="B170" i="6"/>
  <c r="H169" i="6"/>
  <c r="G169" i="6"/>
  <c r="H168" i="6"/>
  <c r="G168" i="6"/>
  <c r="F168" i="6"/>
  <c r="H167" i="6"/>
  <c r="G167" i="6"/>
  <c r="F167" i="6"/>
  <c r="D166" i="6"/>
  <c r="D165" i="6"/>
  <c r="D164" i="6"/>
  <c r="D163" i="6"/>
  <c r="C162" i="6"/>
  <c r="AB161" i="6"/>
  <c r="AA161" i="6"/>
  <c r="Z161" i="6"/>
  <c r="Y161" i="6"/>
  <c r="X161" i="6"/>
  <c r="W161" i="6"/>
  <c r="V161" i="6"/>
  <c r="U161" i="6"/>
  <c r="T161" i="6"/>
  <c r="H161" i="6"/>
  <c r="G161" i="6"/>
  <c r="F161" i="6"/>
  <c r="E161" i="6"/>
  <c r="C161" i="6"/>
  <c r="D161" i="6"/>
  <c r="B161" i="6"/>
  <c r="H160" i="6"/>
  <c r="G160" i="6"/>
  <c r="H159" i="6"/>
  <c r="G159" i="6"/>
  <c r="H158" i="6"/>
  <c r="G158" i="6"/>
  <c r="F158" i="6"/>
  <c r="H157" i="6"/>
  <c r="G157" i="6"/>
  <c r="H156" i="6"/>
  <c r="G156" i="6"/>
  <c r="F156" i="6"/>
  <c r="D149" i="6"/>
  <c r="D148" i="6"/>
  <c r="D147" i="6"/>
  <c r="D146" i="6"/>
  <c r="C145" i="6"/>
  <c r="AB144" i="6"/>
  <c r="AA144" i="6"/>
  <c r="Z144" i="6"/>
  <c r="Y144" i="6"/>
  <c r="X144" i="6"/>
  <c r="W144" i="6"/>
  <c r="V144" i="6"/>
  <c r="U144" i="6"/>
  <c r="T144" i="6"/>
  <c r="H144" i="6"/>
  <c r="G144" i="6"/>
  <c r="F144" i="6"/>
  <c r="E144" i="6"/>
  <c r="C144" i="6"/>
  <c r="D144" i="6"/>
  <c r="B144" i="6"/>
  <c r="H143" i="6"/>
  <c r="G143" i="6"/>
  <c r="H142" i="6"/>
  <c r="G142" i="6"/>
  <c r="F142" i="6"/>
  <c r="H141" i="6"/>
  <c r="G141" i="6"/>
  <c r="F141" i="6"/>
  <c r="D140" i="6"/>
  <c r="D139" i="6"/>
  <c r="D138" i="6"/>
  <c r="D137" i="6"/>
  <c r="C136" i="6"/>
  <c r="AB135" i="6"/>
  <c r="AA135" i="6"/>
  <c r="Z135" i="6"/>
  <c r="Y135" i="6"/>
  <c r="X135" i="6"/>
  <c r="W135" i="6"/>
  <c r="V135" i="6"/>
  <c r="U135" i="6"/>
  <c r="T135" i="6"/>
  <c r="H135" i="6"/>
  <c r="G135" i="6"/>
  <c r="F135" i="6"/>
  <c r="E135" i="6"/>
  <c r="C135" i="6"/>
  <c r="D135" i="6"/>
  <c r="B135" i="6"/>
  <c r="H134" i="6"/>
  <c r="G134" i="6"/>
  <c r="H133" i="6"/>
  <c r="G133" i="6"/>
  <c r="F133" i="6"/>
  <c r="H132" i="6"/>
  <c r="G132" i="6"/>
  <c r="F132" i="6"/>
  <c r="D125" i="6"/>
  <c r="D124" i="6"/>
  <c r="D123" i="6"/>
  <c r="D122" i="6"/>
  <c r="AB121" i="6"/>
  <c r="AA121" i="6"/>
  <c r="Z121" i="6"/>
  <c r="Y121" i="6"/>
  <c r="X121" i="6"/>
  <c r="W121" i="6"/>
  <c r="V121" i="6"/>
  <c r="U121" i="6"/>
  <c r="T121" i="6"/>
  <c r="H121" i="6"/>
  <c r="G121" i="6"/>
  <c r="F121" i="6"/>
  <c r="E121" i="6"/>
  <c r="C121" i="6"/>
  <c r="D121" i="6"/>
  <c r="B121" i="6"/>
  <c r="H120" i="6"/>
  <c r="G120" i="6"/>
  <c r="H119" i="6"/>
  <c r="G119" i="6"/>
  <c r="F119" i="6"/>
  <c r="H118" i="6"/>
  <c r="G118" i="6"/>
  <c r="F118" i="6"/>
  <c r="D111" i="6"/>
  <c r="D110" i="6"/>
  <c r="D109" i="6"/>
  <c r="D108" i="6"/>
  <c r="AB107" i="6"/>
  <c r="AA107" i="6"/>
  <c r="Z107" i="6"/>
  <c r="Y107" i="6"/>
  <c r="X107" i="6"/>
  <c r="W107" i="6"/>
  <c r="V107" i="6"/>
  <c r="U107" i="6"/>
  <c r="T107" i="6"/>
  <c r="H107" i="6"/>
  <c r="G107" i="6"/>
  <c r="F107" i="6"/>
  <c r="E107" i="6"/>
  <c r="C107" i="6"/>
  <c r="D107" i="6"/>
  <c r="B107" i="6"/>
  <c r="H106" i="6"/>
  <c r="G106" i="6"/>
  <c r="H105" i="6"/>
  <c r="G105" i="6"/>
  <c r="F105" i="6"/>
  <c r="H104" i="6"/>
  <c r="G104" i="6"/>
  <c r="F104" i="6"/>
  <c r="D97" i="6"/>
  <c r="D96" i="6"/>
  <c r="D95" i="6"/>
  <c r="D94" i="6"/>
  <c r="C93" i="6"/>
  <c r="AB92" i="6"/>
  <c r="AA92" i="6"/>
  <c r="Z92" i="6"/>
  <c r="Y92" i="6"/>
  <c r="X92" i="6"/>
  <c r="W92" i="6"/>
  <c r="V92" i="6"/>
  <c r="U92" i="6"/>
  <c r="T92" i="6"/>
  <c r="H92" i="6"/>
  <c r="G92" i="6"/>
  <c r="F92" i="6"/>
  <c r="E92" i="6"/>
  <c r="C92" i="6"/>
  <c r="D92" i="6"/>
  <c r="B92" i="6"/>
  <c r="H91" i="6"/>
  <c r="G91" i="6"/>
  <c r="H90" i="6"/>
  <c r="G90" i="6"/>
  <c r="F90" i="6"/>
  <c r="H89" i="6"/>
  <c r="G89" i="6"/>
  <c r="F89" i="6"/>
  <c r="D82" i="6"/>
  <c r="D81" i="6"/>
  <c r="D80" i="6"/>
  <c r="D79" i="6"/>
  <c r="AB78" i="6"/>
  <c r="AA78" i="6"/>
  <c r="Z78" i="6"/>
  <c r="Y78" i="6"/>
  <c r="X78" i="6"/>
  <c r="W78" i="6"/>
  <c r="V78" i="6"/>
  <c r="U78" i="6"/>
  <c r="T78" i="6"/>
  <c r="H78" i="6"/>
  <c r="G78" i="6"/>
  <c r="F78" i="6"/>
  <c r="E78" i="6"/>
  <c r="C78" i="6"/>
  <c r="D78" i="6"/>
  <c r="B78" i="6"/>
  <c r="H77" i="6"/>
  <c r="G77" i="6"/>
  <c r="H76" i="6"/>
  <c r="G76" i="6"/>
  <c r="F76" i="6"/>
  <c r="H75" i="6"/>
  <c r="G75" i="6"/>
  <c r="F75" i="6"/>
  <c r="D74" i="6"/>
  <c r="D73" i="6"/>
  <c r="D72" i="6"/>
  <c r="D71" i="6"/>
  <c r="C70" i="6"/>
  <c r="AB69" i="6"/>
  <c r="AA69" i="6"/>
  <c r="Z69" i="6"/>
  <c r="Y69" i="6"/>
  <c r="X69" i="6"/>
  <c r="W69" i="6"/>
  <c r="V69" i="6"/>
  <c r="U69" i="6"/>
  <c r="T69" i="6"/>
  <c r="H69" i="6"/>
  <c r="G69" i="6"/>
  <c r="F69" i="6"/>
  <c r="E69" i="6"/>
  <c r="C69" i="6"/>
  <c r="D69" i="6"/>
  <c r="B69" i="6"/>
  <c r="H68" i="6"/>
  <c r="G68" i="6"/>
  <c r="H67" i="6"/>
  <c r="G67" i="6"/>
  <c r="F67" i="6"/>
  <c r="H66" i="6"/>
  <c r="G66" i="6"/>
  <c r="F66" i="6"/>
  <c r="D65" i="6"/>
  <c r="D64" i="6"/>
  <c r="D63" i="6"/>
  <c r="D62" i="6"/>
  <c r="C61" i="6"/>
  <c r="AB60" i="6"/>
  <c r="AA60" i="6"/>
  <c r="Z60" i="6"/>
  <c r="Y60" i="6"/>
  <c r="X60" i="6"/>
  <c r="W60" i="6"/>
  <c r="V60" i="6"/>
  <c r="U60" i="6"/>
  <c r="T60" i="6"/>
  <c r="H60" i="6"/>
  <c r="G60" i="6"/>
  <c r="F60" i="6"/>
  <c r="E60" i="6"/>
  <c r="C60" i="6"/>
  <c r="D60" i="6"/>
  <c r="B60" i="6"/>
  <c r="H59" i="6"/>
  <c r="G59" i="6"/>
  <c r="H58" i="6"/>
  <c r="G58" i="6"/>
  <c r="F58" i="6"/>
  <c r="H57" i="6"/>
  <c r="G57" i="6"/>
  <c r="F57" i="6"/>
  <c r="D56" i="6"/>
  <c r="D55" i="6"/>
  <c r="D54" i="6"/>
  <c r="D53" i="6"/>
  <c r="C52" i="6"/>
  <c r="AB51" i="6"/>
  <c r="AA51" i="6"/>
  <c r="Z51" i="6"/>
  <c r="Y51" i="6"/>
  <c r="X51" i="6"/>
  <c r="W51" i="6"/>
  <c r="V51" i="6"/>
  <c r="U51" i="6"/>
  <c r="T51" i="6"/>
  <c r="H51" i="6"/>
  <c r="G51" i="6"/>
  <c r="F51" i="6"/>
  <c r="E51" i="6"/>
  <c r="C51" i="6"/>
  <c r="D51" i="6"/>
  <c r="B51" i="6"/>
  <c r="H50" i="6"/>
  <c r="G50" i="6"/>
  <c r="H49" i="6"/>
  <c r="G49" i="6"/>
  <c r="H48" i="6"/>
  <c r="G48" i="6"/>
  <c r="F48" i="6"/>
  <c r="H47" i="6"/>
  <c r="G47" i="6"/>
  <c r="H46" i="6"/>
  <c r="G46" i="6"/>
  <c r="F46" i="6"/>
  <c r="D45" i="6"/>
  <c r="D44" i="6"/>
  <c r="D43" i="6"/>
  <c r="D42" i="6"/>
  <c r="C41" i="6"/>
  <c r="AB40" i="6"/>
  <c r="AA40" i="6"/>
  <c r="Z40" i="6"/>
  <c r="Y40" i="6"/>
  <c r="X40" i="6"/>
  <c r="W40" i="6"/>
  <c r="V40" i="6"/>
  <c r="U40" i="6"/>
  <c r="T40" i="6"/>
  <c r="H40" i="6"/>
  <c r="G40" i="6"/>
  <c r="F40" i="6"/>
  <c r="E40" i="6"/>
  <c r="C40" i="6"/>
  <c r="D40" i="6"/>
  <c r="B40" i="6"/>
  <c r="A39" i="6"/>
  <c r="A37" i="6"/>
  <c r="F31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D9" i="5"/>
  <c r="J628" i="5"/>
  <c r="C628" i="5"/>
  <c r="J627" i="5"/>
  <c r="C627" i="5"/>
  <c r="J626" i="5"/>
  <c r="C626" i="5"/>
  <c r="I21" i="5"/>
  <c r="I20" i="5"/>
  <c r="G20" i="5" s="1"/>
  <c r="I19" i="5"/>
  <c r="I18" i="5"/>
  <c r="I17" i="5"/>
  <c r="I16" i="5"/>
  <c r="I15" i="5"/>
  <c r="A625" i="5"/>
  <c r="A624" i="5"/>
  <c r="L622" i="5"/>
  <c r="Q622" i="5" s="1"/>
  <c r="Z622" i="5"/>
  <c r="Y622" i="5"/>
  <c r="W622" i="5"/>
  <c r="K621" i="5"/>
  <c r="J621" i="5"/>
  <c r="Z621" i="5"/>
  <c r="Y621" i="5"/>
  <c r="W621" i="5"/>
  <c r="H621" i="5"/>
  <c r="X621" i="5" s="1"/>
  <c r="F621" i="5"/>
  <c r="V621" i="5"/>
  <c r="T621" i="5"/>
  <c r="U621" i="5"/>
  <c r="S621" i="5"/>
  <c r="E621" i="5"/>
  <c r="D621" i="5"/>
  <c r="C621" i="5"/>
  <c r="B621" i="5"/>
  <c r="A621" i="5"/>
  <c r="L620" i="5"/>
  <c r="G620" i="5"/>
  <c r="E620" i="5"/>
  <c r="J619" i="5"/>
  <c r="E619" i="5"/>
  <c r="J618" i="5"/>
  <c r="E618" i="5"/>
  <c r="K617" i="5"/>
  <c r="J617" i="5"/>
  <c r="H617" i="5"/>
  <c r="G617" i="5"/>
  <c r="F617" i="5"/>
  <c r="K616" i="5"/>
  <c r="J616" i="5"/>
  <c r="H616" i="5"/>
  <c r="G616" i="5"/>
  <c r="F616" i="5"/>
  <c r="K615" i="5"/>
  <c r="J615" i="5"/>
  <c r="H615" i="5"/>
  <c r="G615" i="5"/>
  <c r="F615" i="5"/>
  <c r="V614" i="5"/>
  <c r="T614" i="5"/>
  <c r="U614" i="5"/>
  <c r="S614" i="5"/>
  <c r="F614" i="5"/>
  <c r="E614" i="5"/>
  <c r="D614" i="5"/>
  <c r="I614" i="5"/>
  <c r="C614" i="5"/>
  <c r="B614" i="5"/>
  <c r="A614" i="5"/>
  <c r="L613" i="5"/>
  <c r="Q613" i="5" s="1"/>
  <c r="Z613" i="5"/>
  <c r="Y613" i="5"/>
  <c r="X613" i="5"/>
  <c r="K612" i="5"/>
  <c r="J612" i="5"/>
  <c r="Z612" i="5"/>
  <c r="Y612" i="5"/>
  <c r="X612" i="5"/>
  <c r="H612" i="5"/>
  <c r="W612" i="5" s="1"/>
  <c r="F612" i="5"/>
  <c r="V612" i="5"/>
  <c r="T612" i="5"/>
  <c r="U612" i="5"/>
  <c r="S612" i="5"/>
  <c r="E612" i="5"/>
  <c r="D612" i="5"/>
  <c r="C612" i="5"/>
  <c r="B612" i="5"/>
  <c r="A612" i="5"/>
  <c r="L611" i="5"/>
  <c r="G611" i="5"/>
  <c r="E611" i="5"/>
  <c r="J610" i="5"/>
  <c r="F610" i="5"/>
  <c r="E610" i="5"/>
  <c r="J609" i="5"/>
  <c r="F609" i="5"/>
  <c r="E609" i="5"/>
  <c r="K608" i="5"/>
  <c r="J608" i="5"/>
  <c r="H608" i="5"/>
  <c r="G608" i="5"/>
  <c r="F608" i="5"/>
  <c r="K607" i="5"/>
  <c r="J607" i="5"/>
  <c r="H607" i="5"/>
  <c r="R607" i="5" s="1"/>
  <c r="G607" i="5"/>
  <c r="F607" i="5"/>
  <c r="K606" i="5"/>
  <c r="J606" i="5"/>
  <c r="H606" i="5"/>
  <c r="G606" i="5"/>
  <c r="F606" i="5"/>
  <c r="K605" i="5"/>
  <c r="J605" i="5"/>
  <c r="H605" i="5"/>
  <c r="G605" i="5"/>
  <c r="F605" i="5"/>
  <c r="V604" i="5"/>
  <c r="T604" i="5"/>
  <c r="U604" i="5"/>
  <c r="S604" i="5"/>
  <c r="F604" i="5"/>
  <c r="E604" i="5"/>
  <c r="D604" i="5"/>
  <c r="I604" i="5"/>
  <c r="C604" i="5"/>
  <c r="B604" i="5"/>
  <c r="A604" i="5"/>
  <c r="L603" i="5"/>
  <c r="Q603" i="5" s="1"/>
  <c r="Z603" i="5"/>
  <c r="Y603" i="5"/>
  <c r="X603" i="5"/>
  <c r="K602" i="5"/>
  <c r="J602" i="5"/>
  <c r="Z602" i="5"/>
  <c r="Y602" i="5"/>
  <c r="X602" i="5"/>
  <c r="H602" i="5"/>
  <c r="W602" i="5" s="1"/>
  <c r="F602" i="5"/>
  <c r="V602" i="5"/>
  <c r="T602" i="5"/>
  <c r="U602" i="5"/>
  <c r="S602" i="5"/>
  <c r="E602" i="5"/>
  <c r="D602" i="5"/>
  <c r="C602" i="5"/>
  <c r="B602" i="5"/>
  <c r="A602" i="5"/>
  <c r="K601" i="5"/>
  <c r="J601" i="5"/>
  <c r="Z601" i="5"/>
  <c r="Y601" i="5"/>
  <c r="X601" i="5"/>
  <c r="H601" i="5"/>
  <c r="W601" i="5" s="1"/>
  <c r="F601" i="5"/>
  <c r="V601" i="5"/>
  <c r="T601" i="5"/>
  <c r="U601" i="5"/>
  <c r="S601" i="5"/>
  <c r="E601" i="5"/>
  <c r="D601" i="5"/>
  <c r="C601" i="5"/>
  <c r="B601" i="5"/>
  <c r="A601" i="5"/>
  <c r="K600" i="5"/>
  <c r="J600" i="5"/>
  <c r="Z600" i="5"/>
  <c r="Y600" i="5"/>
  <c r="X600" i="5"/>
  <c r="H600" i="5"/>
  <c r="W600" i="5" s="1"/>
  <c r="F600" i="5"/>
  <c r="V600" i="5"/>
  <c r="T600" i="5"/>
  <c r="U600" i="5"/>
  <c r="S600" i="5"/>
  <c r="E600" i="5"/>
  <c r="D600" i="5"/>
  <c r="C600" i="5"/>
  <c r="B600" i="5"/>
  <c r="A600" i="5"/>
  <c r="L599" i="5"/>
  <c r="G599" i="5"/>
  <c r="E599" i="5"/>
  <c r="J598" i="5"/>
  <c r="F598" i="5"/>
  <c r="E598" i="5"/>
  <c r="J597" i="5"/>
  <c r="F597" i="5"/>
  <c r="E597" i="5"/>
  <c r="K596" i="5"/>
  <c r="J596" i="5"/>
  <c r="H596" i="5"/>
  <c r="G596" i="5"/>
  <c r="F596" i="5"/>
  <c r="K595" i="5"/>
  <c r="J595" i="5"/>
  <c r="H595" i="5"/>
  <c r="R595" i="5" s="1"/>
  <c r="G595" i="5"/>
  <c r="F595" i="5"/>
  <c r="K594" i="5"/>
  <c r="J594" i="5"/>
  <c r="H594" i="5"/>
  <c r="G594" i="5"/>
  <c r="F594" i="5"/>
  <c r="K593" i="5"/>
  <c r="J593" i="5"/>
  <c r="H593" i="5"/>
  <c r="G593" i="5"/>
  <c r="F593" i="5"/>
  <c r="C592" i="5"/>
  <c r="V591" i="5"/>
  <c r="T591" i="5"/>
  <c r="U591" i="5"/>
  <c r="S591" i="5"/>
  <c r="F591" i="5"/>
  <c r="E591" i="5"/>
  <c r="D591" i="5"/>
  <c r="I591" i="5"/>
  <c r="C591" i="5"/>
  <c r="B591" i="5"/>
  <c r="A591" i="5"/>
  <c r="L590" i="5"/>
  <c r="Q590" i="5" s="1"/>
  <c r="Z590" i="5"/>
  <c r="Y590" i="5"/>
  <c r="X590" i="5"/>
  <c r="K589" i="5"/>
  <c r="J589" i="5"/>
  <c r="Z589" i="5"/>
  <c r="Y589" i="5"/>
  <c r="X589" i="5"/>
  <c r="H589" i="5"/>
  <c r="W589" i="5" s="1"/>
  <c r="F589" i="5"/>
  <c r="V589" i="5"/>
  <c r="T589" i="5"/>
  <c r="U589" i="5"/>
  <c r="S589" i="5"/>
  <c r="E589" i="5"/>
  <c r="D589" i="5"/>
  <c r="C589" i="5"/>
  <c r="B589" i="5"/>
  <c r="A589" i="5"/>
  <c r="K588" i="5"/>
  <c r="J588" i="5"/>
  <c r="Z588" i="5"/>
  <c r="Y588" i="5"/>
  <c r="X588" i="5"/>
  <c r="H588" i="5"/>
  <c r="W588" i="5" s="1"/>
  <c r="F588" i="5"/>
  <c r="V588" i="5"/>
  <c r="T588" i="5"/>
  <c r="U588" i="5"/>
  <c r="S588" i="5"/>
  <c r="E588" i="5"/>
  <c r="D588" i="5"/>
  <c r="C588" i="5"/>
  <c r="B588" i="5"/>
  <c r="A588" i="5"/>
  <c r="L587" i="5"/>
  <c r="G587" i="5"/>
  <c r="E587" i="5"/>
  <c r="J586" i="5"/>
  <c r="F586" i="5"/>
  <c r="E586" i="5"/>
  <c r="J585" i="5"/>
  <c r="F585" i="5"/>
  <c r="E585" i="5"/>
  <c r="K584" i="5"/>
  <c r="J584" i="5"/>
  <c r="H584" i="5"/>
  <c r="G584" i="5"/>
  <c r="F584" i="5"/>
  <c r="K583" i="5"/>
  <c r="J583" i="5"/>
  <c r="H583" i="5"/>
  <c r="G583" i="5"/>
  <c r="F583" i="5"/>
  <c r="C582" i="5"/>
  <c r="V581" i="5"/>
  <c r="T581" i="5"/>
  <c r="U581" i="5"/>
  <c r="S581" i="5"/>
  <c r="F581" i="5"/>
  <c r="E581" i="5"/>
  <c r="D581" i="5"/>
  <c r="I581" i="5"/>
  <c r="C581" i="5"/>
  <c r="B581" i="5"/>
  <c r="A581" i="5"/>
  <c r="L580" i="5"/>
  <c r="Q580" i="5" s="1"/>
  <c r="Z580" i="5"/>
  <c r="Y580" i="5"/>
  <c r="X580" i="5"/>
  <c r="K579" i="5"/>
  <c r="J579" i="5"/>
  <c r="Z579" i="5"/>
  <c r="Y579" i="5"/>
  <c r="X579" i="5"/>
  <c r="H579" i="5"/>
  <c r="W579" i="5" s="1"/>
  <c r="F579" i="5"/>
  <c r="V579" i="5"/>
  <c r="T579" i="5"/>
  <c r="U579" i="5"/>
  <c r="S579" i="5"/>
  <c r="E579" i="5"/>
  <c r="D579" i="5"/>
  <c r="C579" i="5"/>
  <c r="B579" i="5"/>
  <c r="A579" i="5"/>
  <c r="K578" i="5"/>
  <c r="J578" i="5"/>
  <c r="Z578" i="5"/>
  <c r="Y578" i="5"/>
  <c r="X578" i="5"/>
  <c r="H578" i="5"/>
  <c r="W578" i="5" s="1"/>
  <c r="F578" i="5"/>
  <c r="V578" i="5"/>
  <c r="T578" i="5"/>
  <c r="U578" i="5"/>
  <c r="S578" i="5"/>
  <c r="E578" i="5"/>
  <c r="D578" i="5"/>
  <c r="C578" i="5"/>
  <c r="B578" i="5"/>
  <c r="A578" i="5"/>
  <c r="L577" i="5"/>
  <c r="G577" i="5"/>
  <c r="E577" i="5"/>
  <c r="J576" i="5"/>
  <c r="F576" i="5"/>
  <c r="E576" i="5"/>
  <c r="J575" i="5"/>
  <c r="F575" i="5"/>
  <c r="E575" i="5"/>
  <c r="K574" i="5"/>
  <c r="J574" i="5"/>
  <c r="H574" i="5"/>
  <c r="G574" i="5"/>
  <c r="F574" i="5"/>
  <c r="K573" i="5"/>
  <c r="J573" i="5"/>
  <c r="H573" i="5"/>
  <c r="R573" i="5" s="1"/>
  <c r="G573" i="5"/>
  <c r="F573" i="5"/>
  <c r="K572" i="5"/>
  <c r="J572" i="5"/>
  <c r="H572" i="5"/>
  <c r="G572" i="5"/>
  <c r="F572" i="5"/>
  <c r="K571" i="5"/>
  <c r="J571" i="5"/>
  <c r="H571" i="5"/>
  <c r="G571" i="5"/>
  <c r="F571" i="5"/>
  <c r="C570" i="5"/>
  <c r="V569" i="5"/>
  <c r="T569" i="5"/>
  <c r="U569" i="5"/>
  <c r="S569" i="5"/>
  <c r="F569" i="5"/>
  <c r="E569" i="5"/>
  <c r="D569" i="5"/>
  <c r="I569" i="5"/>
  <c r="C569" i="5"/>
  <c r="B569" i="5"/>
  <c r="A569" i="5"/>
  <c r="A568" i="5"/>
  <c r="A566" i="5"/>
  <c r="L564" i="5"/>
  <c r="Q564" i="5" s="1"/>
  <c r="Y564" i="5"/>
  <c r="X564" i="5"/>
  <c r="W564" i="5"/>
  <c r="L563" i="5"/>
  <c r="G563" i="5"/>
  <c r="E563" i="5"/>
  <c r="J562" i="5"/>
  <c r="E562" i="5"/>
  <c r="J561" i="5"/>
  <c r="E561" i="5"/>
  <c r="K560" i="5"/>
  <c r="J560" i="5"/>
  <c r="H560" i="5"/>
  <c r="G560" i="5"/>
  <c r="F560" i="5"/>
  <c r="V559" i="5"/>
  <c r="K562" i="5" s="1"/>
  <c r="T559" i="5"/>
  <c r="K561" i="5" s="1"/>
  <c r="U559" i="5"/>
  <c r="H562" i="5" s="1"/>
  <c r="S559" i="5"/>
  <c r="H561" i="5" s="1"/>
  <c r="F559" i="5"/>
  <c r="E559" i="5"/>
  <c r="D559" i="5"/>
  <c r="I559" i="5"/>
  <c r="C559" i="5"/>
  <c r="B559" i="5"/>
  <c r="A559" i="5"/>
  <c r="L558" i="5"/>
  <c r="Q558" i="5" s="1"/>
  <c r="Y558" i="5"/>
  <c r="X558" i="5"/>
  <c r="W558" i="5"/>
  <c r="L557" i="5"/>
  <c r="G557" i="5"/>
  <c r="E557" i="5"/>
  <c r="J556" i="5"/>
  <c r="E556" i="5"/>
  <c r="J555" i="5"/>
  <c r="E555" i="5"/>
  <c r="K554" i="5"/>
  <c r="J554" i="5"/>
  <c r="H554" i="5"/>
  <c r="G554" i="5"/>
  <c r="F554" i="5"/>
  <c r="V553" i="5"/>
  <c r="K556" i="5" s="1"/>
  <c r="T553" i="5"/>
  <c r="K555" i="5" s="1"/>
  <c r="U553" i="5"/>
  <c r="H556" i="5" s="1"/>
  <c r="S553" i="5"/>
  <c r="H555" i="5" s="1"/>
  <c r="F553" i="5"/>
  <c r="E553" i="5"/>
  <c r="D553" i="5"/>
  <c r="I553" i="5"/>
  <c r="C553" i="5"/>
  <c r="B553" i="5"/>
  <c r="A553" i="5"/>
  <c r="L552" i="5"/>
  <c r="Q552" i="5" s="1"/>
  <c r="Y552" i="5"/>
  <c r="X552" i="5"/>
  <c r="W552" i="5"/>
  <c r="L551" i="5"/>
  <c r="G551" i="5"/>
  <c r="E551" i="5"/>
  <c r="J550" i="5"/>
  <c r="E550" i="5"/>
  <c r="J549" i="5"/>
  <c r="E549" i="5"/>
  <c r="K548" i="5"/>
  <c r="J548" i="5"/>
  <c r="H548" i="5"/>
  <c r="G548" i="5"/>
  <c r="F548" i="5"/>
  <c r="V547" i="5"/>
  <c r="K550" i="5" s="1"/>
  <c r="T547" i="5"/>
  <c r="K549" i="5" s="1"/>
  <c r="U547" i="5"/>
  <c r="H550" i="5" s="1"/>
  <c r="S547" i="5"/>
  <c r="H549" i="5" s="1"/>
  <c r="F547" i="5"/>
  <c r="E547" i="5"/>
  <c r="D547" i="5"/>
  <c r="I547" i="5"/>
  <c r="C547" i="5"/>
  <c r="B547" i="5"/>
  <c r="A547" i="5"/>
  <c r="A546" i="5"/>
  <c r="A544" i="5"/>
  <c r="L542" i="5"/>
  <c r="Q542" i="5" s="1"/>
  <c r="Z542" i="5"/>
  <c r="Y542" i="5"/>
  <c r="W542" i="5"/>
  <c r="K541" i="5"/>
  <c r="J541" i="5"/>
  <c r="Z541" i="5"/>
  <c r="Y541" i="5"/>
  <c r="W541" i="5"/>
  <c r="H541" i="5"/>
  <c r="X541" i="5" s="1"/>
  <c r="F541" i="5"/>
  <c r="V541" i="5"/>
  <c r="T541" i="5"/>
  <c r="U541" i="5"/>
  <c r="S541" i="5"/>
  <c r="E541" i="5"/>
  <c r="D541" i="5"/>
  <c r="C541" i="5"/>
  <c r="B541" i="5"/>
  <c r="A541" i="5"/>
  <c r="K540" i="5"/>
  <c r="J540" i="5"/>
  <c r="Z540" i="5"/>
  <c r="Y540" i="5"/>
  <c r="W540" i="5"/>
  <c r="H540" i="5"/>
  <c r="X540" i="5" s="1"/>
  <c r="F540" i="5"/>
  <c r="V540" i="5"/>
  <c r="T540" i="5"/>
  <c r="U540" i="5"/>
  <c r="S540" i="5"/>
  <c r="E540" i="5"/>
  <c r="D540" i="5"/>
  <c r="C540" i="5"/>
  <c r="B540" i="5"/>
  <c r="A540" i="5"/>
  <c r="K539" i="5"/>
  <c r="J539" i="5"/>
  <c r="Z539" i="5"/>
  <c r="Y539" i="5"/>
  <c r="W539" i="5"/>
  <c r="H539" i="5"/>
  <c r="X539" i="5" s="1"/>
  <c r="F539" i="5"/>
  <c r="V539" i="5"/>
  <c r="T539" i="5"/>
  <c r="U539" i="5"/>
  <c r="S539" i="5"/>
  <c r="E539" i="5"/>
  <c r="D539" i="5"/>
  <c r="C539" i="5"/>
  <c r="B539" i="5"/>
  <c r="A539" i="5"/>
  <c r="L538" i="5"/>
  <c r="G538" i="5"/>
  <c r="E538" i="5"/>
  <c r="J537" i="5"/>
  <c r="E537" i="5"/>
  <c r="J536" i="5"/>
  <c r="E536" i="5"/>
  <c r="K535" i="5"/>
  <c r="J535" i="5"/>
  <c r="H535" i="5"/>
  <c r="G535" i="5"/>
  <c r="F535" i="5"/>
  <c r="K534" i="5"/>
  <c r="J534" i="5"/>
  <c r="H534" i="5"/>
  <c r="G534" i="5"/>
  <c r="F534" i="5"/>
  <c r="K533" i="5"/>
  <c r="J533" i="5"/>
  <c r="H533" i="5"/>
  <c r="G533" i="5"/>
  <c r="F533" i="5"/>
  <c r="V532" i="5"/>
  <c r="T532" i="5"/>
  <c r="U532" i="5"/>
  <c r="S532" i="5"/>
  <c r="F532" i="5"/>
  <c r="E532" i="5"/>
  <c r="D532" i="5"/>
  <c r="I532" i="5"/>
  <c r="C532" i="5"/>
  <c r="B532" i="5"/>
  <c r="A532" i="5"/>
  <c r="L531" i="5"/>
  <c r="Q531" i="5" s="1"/>
  <c r="Z531" i="5"/>
  <c r="Y531" i="5"/>
  <c r="W531" i="5"/>
  <c r="K530" i="5"/>
  <c r="J530" i="5"/>
  <c r="Z530" i="5"/>
  <c r="Y530" i="5"/>
  <c r="W530" i="5"/>
  <c r="H530" i="5"/>
  <c r="X530" i="5" s="1"/>
  <c r="F530" i="5"/>
  <c r="V530" i="5"/>
  <c r="T530" i="5"/>
  <c r="U530" i="5"/>
  <c r="S530" i="5"/>
  <c r="E530" i="5"/>
  <c r="D530" i="5"/>
  <c r="C530" i="5"/>
  <c r="B530" i="5"/>
  <c r="A530" i="5"/>
  <c r="L529" i="5"/>
  <c r="G529" i="5"/>
  <c r="E529" i="5"/>
  <c r="J528" i="5"/>
  <c r="E528" i="5"/>
  <c r="J527" i="5"/>
  <c r="E527" i="5"/>
  <c r="K526" i="5"/>
  <c r="J526" i="5"/>
  <c r="H526" i="5"/>
  <c r="G526" i="5"/>
  <c r="F526" i="5"/>
  <c r="K525" i="5"/>
  <c r="J525" i="5"/>
  <c r="H525" i="5"/>
  <c r="R525" i="5" s="1"/>
  <c r="G525" i="5"/>
  <c r="F525" i="5"/>
  <c r="K524" i="5"/>
  <c r="J524" i="5"/>
  <c r="H524" i="5"/>
  <c r="G524" i="5"/>
  <c r="F524" i="5"/>
  <c r="K523" i="5"/>
  <c r="J523" i="5"/>
  <c r="H523" i="5"/>
  <c r="R523" i="5" s="1"/>
  <c r="G523" i="5"/>
  <c r="F523" i="5"/>
  <c r="V522" i="5"/>
  <c r="T522" i="5"/>
  <c r="K527" i="5" s="1"/>
  <c r="U522" i="5"/>
  <c r="H528" i="5" s="1"/>
  <c r="S522" i="5"/>
  <c r="H527" i="5" s="1"/>
  <c r="F522" i="5"/>
  <c r="E522" i="5"/>
  <c r="D522" i="5"/>
  <c r="I522" i="5"/>
  <c r="C522" i="5"/>
  <c r="B522" i="5"/>
  <c r="A522" i="5"/>
  <c r="L521" i="5"/>
  <c r="Q521" i="5" s="1"/>
  <c r="Z521" i="5"/>
  <c r="Y521" i="5"/>
  <c r="W521" i="5"/>
  <c r="L520" i="5"/>
  <c r="G520" i="5"/>
  <c r="E520" i="5"/>
  <c r="J519" i="5"/>
  <c r="E519" i="5"/>
  <c r="J518" i="5"/>
  <c r="E518" i="5"/>
  <c r="K517" i="5"/>
  <c r="J517" i="5"/>
  <c r="H517" i="5"/>
  <c r="G517" i="5"/>
  <c r="F517" i="5"/>
  <c r="K516" i="5"/>
  <c r="J516" i="5"/>
  <c r="H516" i="5"/>
  <c r="R516" i="5" s="1"/>
  <c r="G516" i="5"/>
  <c r="F516" i="5"/>
  <c r="K515" i="5"/>
  <c r="J515" i="5"/>
  <c r="H515" i="5"/>
  <c r="G515" i="5"/>
  <c r="F515" i="5"/>
  <c r="K514" i="5"/>
  <c r="J514" i="5"/>
  <c r="H514" i="5"/>
  <c r="G514" i="5"/>
  <c r="F514" i="5"/>
  <c r="C513" i="5"/>
  <c r="V512" i="5"/>
  <c r="K519" i="5" s="1"/>
  <c r="T512" i="5"/>
  <c r="K518" i="5" s="1"/>
  <c r="U512" i="5"/>
  <c r="H519" i="5" s="1"/>
  <c r="S512" i="5"/>
  <c r="H518" i="5" s="1"/>
  <c r="F512" i="5"/>
  <c r="E512" i="5"/>
  <c r="D512" i="5"/>
  <c r="I512" i="5"/>
  <c r="C512" i="5"/>
  <c r="B512" i="5"/>
  <c r="A512" i="5"/>
  <c r="L511" i="5"/>
  <c r="Q511" i="5" s="1"/>
  <c r="Z511" i="5"/>
  <c r="Y511" i="5"/>
  <c r="W511" i="5"/>
  <c r="K510" i="5"/>
  <c r="J510" i="5"/>
  <c r="Z510" i="5"/>
  <c r="Y510" i="5"/>
  <c r="W510" i="5"/>
  <c r="H510" i="5"/>
  <c r="X510" i="5" s="1"/>
  <c r="F510" i="5"/>
  <c r="V510" i="5"/>
  <c r="T510" i="5"/>
  <c r="U510" i="5"/>
  <c r="S510" i="5"/>
  <c r="E510" i="5"/>
  <c r="D510" i="5"/>
  <c r="C510" i="5"/>
  <c r="B510" i="5"/>
  <c r="A510" i="5"/>
  <c r="L509" i="5"/>
  <c r="G509" i="5"/>
  <c r="E509" i="5"/>
  <c r="J508" i="5"/>
  <c r="E508" i="5"/>
  <c r="J507" i="5"/>
  <c r="E507" i="5"/>
  <c r="K506" i="5"/>
  <c r="J506" i="5"/>
  <c r="H506" i="5"/>
  <c r="G506" i="5"/>
  <c r="F506" i="5"/>
  <c r="K505" i="5"/>
  <c r="J505" i="5"/>
  <c r="H505" i="5"/>
  <c r="R505" i="5" s="1"/>
  <c r="G505" i="5"/>
  <c r="F505" i="5"/>
  <c r="K504" i="5"/>
  <c r="J504" i="5"/>
  <c r="H504" i="5"/>
  <c r="G504" i="5"/>
  <c r="F504" i="5"/>
  <c r="K503" i="5"/>
  <c r="J503" i="5"/>
  <c r="H503" i="5"/>
  <c r="R503" i="5" s="1"/>
  <c r="G503" i="5"/>
  <c r="F503" i="5"/>
  <c r="C502" i="5"/>
  <c r="V501" i="5"/>
  <c r="T501" i="5"/>
  <c r="U501" i="5"/>
  <c r="S501" i="5"/>
  <c r="F501" i="5"/>
  <c r="E501" i="5"/>
  <c r="D501" i="5"/>
  <c r="I501" i="5"/>
  <c r="C501" i="5"/>
  <c r="B501" i="5"/>
  <c r="A501" i="5"/>
  <c r="L500" i="5"/>
  <c r="Q500" i="5" s="1"/>
  <c r="Z500" i="5"/>
  <c r="Y500" i="5"/>
  <c r="X500" i="5"/>
  <c r="L499" i="5"/>
  <c r="G499" i="5"/>
  <c r="E499" i="5"/>
  <c r="J498" i="5"/>
  <c r="E498" i="5"/>
  <c r="J497" i="5"/>
  <c r="E497" i="5"/>
  <c r="K496" i="5"/>
  <c r="J496" i="5"/>
  <c r="H496" i="5"/>
  <c r="G496" i="5"/>
  <c r="F496" i="5"/>
  <c r="C495" i="5"/>
  <c r="V494" i="5"/>
  <c r="K498" i="5" s="1"/>
  <c r="T494" i="5"/>
  <c r="K497" i="5" s="1"/>
  <c r="U494" i="5"/>
  <c r="H498" i="5" s="1"/>
  <c r="S494" i="5"/>
  <c r="H497" i="5" s="1"/>
  <c r="F494" i="5"/>
  <c r="E494" i="5"/>
  <c r="D494" i="5"/>
  <c r="I494" i="5"/>
  <c r="C494" i="5"/>
  <c r="B494" i="5"/>
  <c r="A494" i="5"/>
  <c r="L493" i="5"/>
  <c r="Q493" i="5" s="1"/>
  <c r="Z493" i="5"/>
  <c r="Y493" i="5"/>
  <c r="W493" i="5"/>
  <c r="K492" i="5"/>
  <c r="J492" i="5"/>
  <c r="Z492" i="5"/>
  <c r="Y492" i="5"/>
  <c r="W492" i="5"/>
  <c r="H492" i="5"/>
  <c r="X492" i="5" s="1"/>
  <c r="F492" i="5"/>
  <c r="V492" i="5"/>
  <c r="T492" i="5"/>
  <c r="U492" i="5"/>
  <c r="S492" i="5"/>
  <c r="E492" i="5"/>
  <c r="D492" i="5"/>
  <c r="C492" i="5"/>
  <c r="B492" i="5"/>
  <c r="A492" i="5"/>
  <c r="L491" i="5"/>
  <c r="G491" i="5"/>
  <c r="E491" i="5"/>
  <c r="J490" i="5"/>
  <c r="E490" i="5"/>
  <c r="J489" i="5"/>
  <c r="E489" i="5"/>
  <c r="K488" i="5"/>
  <c r="J488" i="5"/>
  <c r="H488" i="5"/>
  <c r="G488" i="5"/>
  <c r="F488" i="5"/>
  <c r="K487" i="5"/>
  <c r="J487" i="5"/>
  <c r="H487" i="5"/>
  <c r="R487" i="5" s="1"/>
  <c r="G487" i="5"/>
  <c r="F487" i="5"/>
  <c r="K486" i="5"/>
  <c r="J486" i="5"/>
  <c r="H486" i="5"/>
  <c r="G486" i="5"/>
  <c r="F486" i="5"/>
  <c r="K485" i="5"/>
  <c r="J485" i="5"/>
  <c r="H485" i="5"/>
  <c r="G485" i="5"/>
  <c r="F485" i="5"/>
  <c r="C484" i="5"/>
  <c r="V483" i="5"/>
  <c r="T483" i="5"/>
  <c r="U483" i="5"/>
  <c r="S483" i="5"/>
  <c r="F483" i="5"/>
  <c r="E483" i="5"/>
  <c r="D483" i="5"/>
  <c r="I483" i="5"/>
  <c r="C483" i="5"/>
  <c r="B483" i="5"/>
  <c r="A483" i="5"/>
  <c r="L482" i="5"/>
  <c r="Q482" i="5" s="1"/>
  <c r="Z482" i="5"/>
  <c r="Y482" i="5"/>
  <c r="W482" i="5"/>
  <c r="K481" i="5"/>
  <c r="J481" i="5"/>
  <c r="Z481" i="5"/>
  <c r="Y481" i="5"/>
  <c r="W481" i="5"/>
  <c r="H481" i="5"/>
  <c r="X481" i="5" s="1"/>
  <c r="F481" i="5"/>
  <c r="V481" i="5"/>
  <c r="T481" i="5"/>
  <c r="U481" i="5"/>
  <c r="S481" i="5"/>
  <c r="E481" i="5"/>
  <c r="D481" i="5"/>
  <c r="C481" i="5"/>
  <c r="B481" i="5"/>
  <c r="A481" i="5"/>
  <c r="K480" i="5"/>
  <c r="J480" i="5"/>
  <c r="Z480" i="5"/>
  <c r="Y480" i="5"/>
  <c r="W480" i="5"/>
  <c r="H480" i="5"/>
  <c r="X480" i="5" s="1"/>
  <c r="F480" i="5"/>
  <c r="V480" i="5"/>
  <c r="T480" i="5"/>
  <c r="U480" i="5"/>
  <c r="S480" i="5"/>
  <c r="E480" i="5"/>
  <c r="D480" i="5"/>
  <c r="C480" i="5"/>
  <c r="B480" i="5"/>
  <c r="A480" i="5"/>
  <c r="L479" i="5"/>
  <c r="G479" i="5"/>
  <c r="E479" i="5"/>
  <c r="J478" i="5"/>
  <c r="E478" i="5"/>
  <c r="J477" i="5"/>
  <c r="E477" i="5"/>
  <c r="K476" i="5"/>
  <c r="J476" i="5"/>
  <c r="H476" i="5"/>
  <c r="G476" i="5"/>
  <c r="F476" i="5"/>
  <c r="K475" i="5"/>
  <c r="J475" i="5"/>
  <c r="H475" i="5"/>
  <c r="R475" i="5" s="1"/>
  <c r="G475" i="5"/>
  <c r="F475" i="5"/>
  <c r="K474" i="5"/>
  <c r="J474" i="5"/>
  <c r="H474" i="5"/>
  <c r="G474" i="5"/>
  <c r="F474" i="5"/>
  <c r="K473" i="5"/>
  <c r="J473" i="5"/>
  <c r="H473" i="5"/>
  <c r="R473" i="5" s="1"/>
  <c r="G473" i="5"/>
  <c r="F473" i="5"/>
  <c r="C472" i="5"/>
  <c r="V471" i="5"/>
  <c r="T471" i="5"/>
  <c r="U471" i="5"/>
  <c r="S471" i="5"/>
  <c r="F471" i="5"/>
  <c r="E471" i="5"/>
  <c r="D471" i="5"/>
  <c r="I471" i="5"/>
  <c r="C471" i="5"/>
  <c r="B471" i="5"/>
  <c r="A471" i="5"/>
  <c r="L470" i="5"/>
  <c r="Q470" i="5" s="1"/>
  <c r="Z470" i="5"/>
  <c r="Y470" i="5"/>
  <c r="W470" i="5"/>
  <c r="K469" i="5"/>
  <c r="J469" i="5"/>
  <c r="Z469" i="5"/>
  <c r="Y469" i="5"/>
  <c r="W469" i="5"/>
  <c r="H469" i="5"/>
  <c r="X469" i="5" s="1"/>
  <c r="F469" i="5"/>
  <c r="V469" i="5"/>
  <c r="T469" i="5"/>
  <c r="U469" i="5"/>
  <c r="S469" i="5"/>
  <c r="E469" i="5"/>
  <c r="D469" i="5"/>
  <c r="C469" i="5"/>
  <c r="B469" i="5"/>
  <c r="A469" i="5"/>
  <c r="L468" i="5"/>
  <c r="G468" i="5"/>
  <c r="E468" i="5"/>
  <c r="J467" i="5"/>
  <c r="E467" i="5"/>
  <c r="J466" i="5"/>
  <c r="E466" i="5"/>
  <c r="K465" i="5"/>
  <c r="J465" i="5"/>
  <c r="H465" i="5"/>
  <c r="G465" i="5"/>
  <c r="F465" i="5"/>
  <c r="K464" i="5"/>
  <c r="J464" i="5"/>
  <c r="H464" i="5"/>
  <c r="R464" i="5" s="1"/>
  <c r="G464" i="5"/>
  <c r="F464" i="5"/>
  <c r="K463" i="5"/>
  <c r="J463" i="5"/>
  <c r="H463" i="5"/>
  <c r="G463" i="5"/>
  <c r="F463" i="5"/>
  <c r="K462" i="5"/>
  <c r="J462" i="5"/>
  <c r="H462" i="5"/>
  <c r="G462" i="5"/>
  <c r="F462" i="5"/>
  <c r="C461" i="5"/>
  <c r="V460" i="5"/>
  <c r="T460" i="5"/>
  <c r="U460" i="5"/>
  <c r="S460" i="5"/>
  <c r="F460" i="5"/>
  <c r="E460" i="5"/>
  <c r="D460" i="5"/>
  <c r="I460" i="5"/>
  <c r="C460" i="5"/>
  <c r="B460" i="5"/>
  <c r="A460" i="5"/>
  <c r="L459" i="5"/>
  <c r="Q459" i="5" s="1"/>
  <c r="Z459" i="5"/>
  <c r="Y459" i="5"/>
  <c r="W459" i="5"/>
  <c r="K458" i="5"/>
  <c r="J458" i="5"/>
  <c r="Z458" i="5"/>
  <c r="Y458" i="5"/>
  <c r="W458" i="5"/>
  <c r="H458" i="5"/>
  <c r="X458" i="5" s="1"/>
  <c r="F458" i="5"/>
  <c r="V458" i="5"/>
  <c r="T458" i="5"/>
  <c r="U458" i="5"/>
  <c r="S458" i="5"/>
  <c r="E458" i="5"/>
  <c r="D458" i="5"/>
  <c r="C458" i="5"/>
  <c r="B458" i="5"/>
  <c r="A458" i="5"/>
  <c r="L457" i="5"/>
  <c r="G457" i="5"/>
  <c r="E457" i="5"/>
  <c r="J456" i="5"/>
  <c r="E456" i="5"/>
  <c r="J455" i="5"/>
  <c r="E455" i="5"/>
  <c r="K454" i="5"/>
  <c r="J454" i="5"/>
  <c r="H454" i="5"/>
  <c r="G454" i="5"/>
  <c r="F454" i="5"/>
  <c r="K453" i="5"/>
  <c r="J453" i="5"/>
  <c r="H453" i="5"/>
  <c r="R453" i="5" s="1"/>
  <c r="G453" i="5"/>
  <c r="F453" i="5"/>
  <c r="K452" i="5"/>
  <c r="J452" i="5"/>
  <c r="H452" i="5"/>
  <c r="G452" i="5"/>
  <c r="F452" i="5"/>
  <c r="K451" i="5"/>
  <c r="J451" i="5"/>
  <c r="H451" i="5"/>
  <c r="G451" i="5"/>
  <c r="F451" i="5"/>
  <c r="C450" i="5"/>
  <c r="V449" i="5"/>
  <c r="T449" i="5"/>
  <c r="U449" i="5"/>
  <c r="S449" i="5"/>
  <c r="F449" i="5"/>
  <c r="E449" i="5"/>
  <c r="D449" i="5"/>
  <c r="I449" i="5"/>
  <c r="C449" i="5"/>
  <c r="B449" i="5"/>
  <c r="A449" i="5"/>
  <c r="L448" i="5"/>
  <c r="Q448" i="5" s="1"/>
  <c r="Z448" i="5"/>
  <c r="Y448" i="5"/>
  <c r="W448" i="5"/>
  <c r="K447" i="5"/>
  <c r="J447" i="5"/>
  <c r="Z447" i="5"/>
  <c r="Y447" i="5"/>
  <c r="W447" i="5"/>
  <c r="H447" i="5"/>
  <c r="X447" i="5" s="1"/>
  <c r="F447" i="5"/>
  <c r="V447" i="5"/>
  <c r="T447" i="5"/>
  <c r="U447" i="5"/>
  <c r="S447" i="5"/>
  <c r="E447" i="5"/>
  <c r="D447" i="5"/>
  <c r="C447" i="5"/>
  <c r="B447" i="5"/>
  <c r="A447" i="5"/>
  <c r="L446" i="5"/>
  <c r="G446" i="5"/>
  <c r="E446" i="5"/>
  <c r="J445" i="5"/>
  <c r="E445" i="5"/>
  <c r="J444" i="5"/>
  <c r="E444" i="5"/>
  <c r="K443" i="5"/>
  <c r="J443" i="5"/>
  <c r="H443" i="5"/>
  <c r="G443" i="5"/>
  <c r="F443" i="5"/>
  <c r="K442" i="5"/>
  <c r="J442" i="5"/>
  <c r="H442" i="5"/>
  <c r="R442" i="5" s="1"/>
  <c r="G442" i="5"/>
  <c r="F442" i="5"/>
  <c r="K441" i="5"/>
  <c r="J441" i="5"/>
  <c r="H441" i="5"/>
  <c r="G441" i="5"/>
  <c r="F441" i="5"/>
  <c r="K440" i="5"/>
  <c r="J440" i="5"/>
  <c r="H440" i="5"/>
  <c r="R440" i="5" s="1"/>
  <c r="G440" i="5"/>
  <c r="F440" i="5"/>
  <c r="C439" i="5"/>
  <c r="V438" i="5"/>
  <c r="T438" i="5"/>
  <c r="U438" i="5"/>
  <c r="S438" i="5"/>
  <c r="F438" i="5"/>
  <c r="E438" i="5"/>
  <c r="D438" i="5"/>
  <c r="I438" i="5"/>
  <c r="C438" i="5"/>
  <c r="B438" i="5"/>
  <c r="A438" i="5"/>
  <c r="L437" i="5"/>
  <c r="Q437" i="5" s="1"/>
  <c r="Z437" i="5"/>
  <c r="Y437" i="5"/>
  <c r="W437" i="5"/>
  <c r="K436" i="5"/>
  <c r="J436" i="5"/>
  <c r="Z436" i="5"/>
  <c r="Y436" i="5"/>
  <c r="W436" i="5"/>
  <c r="H436" i="5"/>
  <c r="X436" i="5" s="1"/>
  <c r="F436" i="5"/>
  <c r="V436" i="5"/>
  <c r="T436" i="5"/>
  <c r="U436" i="5"/>
  <c r="S436" i="5"/>
  <c r="E436" i="5"/>
  <c r="D436" i="5"/>
  <c r="C436" i="5"/>
  <c r="B436" i="5"/>
  <c r="A436" i="5"/>
  <c r="L435" i="5"/>
  <c r="G435" i="5"/>
  <c r="E435" i="5"/>
  <c r="J434" i="5"/>
  <c r="E434" i="5"/>
  <c r="J433" i="5"/>
  <c r="E433" i="5"/>
  <c r="K432" i="5"/>
  <c r="J432" i="5"/>
  <c r="H432" i="5"/>
  <c r="G432" i="5"/>
  <c r="F432" i="5"/>
  <c r="K431" i="5"/>
  <c r="J431" i="5"/>
  <c r="H431" i="5"/>
  <c r="R431" i="5" s="1"/>
  <c r="G431" i="5"/>
  <c r="F431" i="5"/>
  <c r="K430" i="5"/>
  <c r="J430" i="5"/>
  <c r="H430" i="5"/>
  <c r="G430" i="5"/>
  <c r="F430" i="5"/>
  <c r="K429" i="5"/>
  <c r="J429" i="5"/>
  <c r="H429" i="5"/>
  <c r="G429" i="5"/>
  <c r="F429" i="5"/>
  <c r="C428" i="5"/>
  <c r="V427" i="5"/>
  <c r="T427" i="5"/>
  <c r="U427" i="5"/>
  <c r="S427" i="5"/>
  <c r="F427" i="5"/>
  <c r="E427" i="5"/>
  <c r="D427" i="5"/>
  <c r="I427" i="5"/>
  <c r="C427" i="5"/>
  <c r="B427" i="5"/>
  <c r="A427" i="5"/>
  <c r="L426" i="5"/>
  <c r="Q426" i="5" s="1"/>
  <c r="Z426" i="5"/>
  <c r="Y426" i="5"/>
  <c r="W426" i="5"/>
  <c r="K425" i="5"/>
  <c r="J425" i="5"/>
  <c r="Z425" i="5"/>
  <c r="Y425" i="5"/>
  <c r="W425" i="5"/>
  <c r="H425" i="5"/>
  <c r="X425" i="5" s="1"/>
  <c r="F425" i="5"/>
  <c r="V425" i="5"/>
  <c r="T425" i="5"/>
  <c r="U425" i="5"/>
  <c r="S425" i="5"/>
  <c r="E425" i="5"/>
  <c r="D425" i="5"/>
  <c r="C425" i="5"/>
  <c r="B425" i="5"/>
  <c r="A425" i="5"/>
  <c r="L424" i="5"/>
  <c r="G424" i="5"/>
  <c r="E424" i="5"/>
  <c r="J423" i="5"/>
  <c r="E423" i="5"/>
  <c r="J422" i="5"/>
  <c r="E422" i="5"/>
  <c r="K421" i="5"/>
  <c r="J421" i="5"/>
  <c r="H421" i="5"/>
  <c r="G421" i="5"/>
  <c r="F421" i="5"/>
  <c r="K420" i="5"/>
  <c r="J420" i="5"/>
  <c r="H420" i="5"/>
  <c r="R420" i="5" s="1"/>
  <c r="G420" i="5"/>
  <c r="F420" i="5"/>
  <c r="K419" i="5"/>
  <c r="J419" i="5"/>
  <c r="H419" i="5"/>
  <c r="G419" i="5"/>
  <c r="F419" i="5"/>
  <c r="K418" i="5"/>
  <c r="J418" i="5"/>
  <c r="H418" i="5"/>
  <c r="G418" i="5"/>
  <c r="F418" i="5"/>
  <c r="C417" i="5"/>
  <c r="V416" i="5"/>
  <c r="T416" i="5"/>
  <c r="U416" i="5"/>
  <c r="S416" i="5"/>
  <c r="F416" i="5"/>
  <c r="E416" i="5"/>
  <c r="D416" i="5"/>
  <c r="I416" i="5"/>
  <c r="C416" i="5"/>
  <c r="B416" i="5"/>
  <c r="A416" i="5"/>
  <c r="L415" i="5"/>
  <c r="Q415" i="5" s="1"/>
  <c r="Z415" i="5"/>
  <c r="Y415" i="5"/>
  <c r="W415" i="5"/>
  <c r="K414" i="5"/>
  <c r="J414" i="5"/>
  <c r="Z414" i="5"/>
  <c r="Y414" i="5"/>
  <c r="W414" i="5"/>
  <c r="H414" i="5"/>
  <c r="X414" i="5" s="1"/>
  <c r="F414" i="5"/>
  <c r="V414" i="5"/>
  <c r="T414" i="5"/>
  <c r="U414" i="5"/>
  <c r="S414" i="5"/>
  <c r="E414" i="5"/>
  <c r="D414" i="5"/>
  <c r="C414" i="5"/>
  <c r="B414" i="5"/>
  <c r="A414" i="5"/>
  <c r="L413" i="5"/>
  <c r="G413" i="5"/>
  <c r="E413" i="5"/>
  <c r="J412" i="5"/>
  <c r="E412" i="5"/>
  <c r="J411" i="5"/>
  <c r="E411" i="5"/>
  <c r="K410" i="5"/>
  <c r="J410" i="5"/>
  <c r="H410" i="5"/>
  <c r="G410" i="5"/>
  <c r="F410" i="5"/>
  <c r="K409" i="5"/>
  <c r="J409" i="5"/>
  <c r="H409" i="5"/>
  <c r="G409" i="5"/>
  <c r="F409" i="5"/>
  <c r="C408" i="5"/>
  <c r="V407" i="5"/>
  <c r="T407" i="5"/>
  <c r="U407" i="5"/>
  <c r="S407" i="5"/>
  <c r="F407" i="5"/>
  <c r="E407" i="5"/>
  <c r="D407" i="5"/>
  <c r="I407" i="5"/>
  <c r="C407" i="5"/>
  <c r="B407" i="5"/>
  <c r="A407" i="5"/>
  <c r="L406" i="5"/>
  <c r="Q406" i="5" s="1"/>
  <c r="Z406" i="5"/>
  <c r="Y406" i="5"/>
  <c r="W406" i="5"/>
  <c r="L405" i="5"/>
  <c r="G405" i="5"/>
  <c r="E405" i="5"/>
  <c r="J404" i="5"/>
  <c r="E404" i="5"/>
  <c r="J403" i="5"/>
  <c r="E403" i="5"/>
  <c r="K402" i="5"/>
  <c r="J402" i="5"/>
  <c r="H402" i="5"/>
  <c r="G402" i="5"/>
  <c r="F402" i="5"/>
  <c r="K401" i="5"/>
  <c r="J401" i="5"/>
  <c r="H401" i="5"/>
  <c r="G401" i="5"/>
  <c r="F401" i="5"/>
  <c r="V400" i="5"/>
  <c r="K404" i="5" s="1"/>
  <c r="T400" i="5"/>
  <c r="K403" i="5" s="1"/>
  <c r="U400" i="5"/>
  <c r="H404" i="5" s="1"/>
  <c r="S400" i="5"/>
  <c r="H403" i="5" s="1"/>
  <c r="F400" i="5"/>
  <c r="E400" i="5"/>
  <c r="D400" i="5"/>
  <c r="I400" i="5"/>
  <c r="C400" i="5"/>
  <c r="B400" i="5"/>
  <c r="A400" i="5"/>
  <c r="L399" i="5"/>
  <c r="Q399" i="5" s="1"/>
  <c r="Z399" i="5"/>
  <c r="Y399" i="5"/>
  <c r="W399" i="5"/>
  <c r="L398" i="5"/>
  <c r="G398" i="5"/>
  <c r="E398" i="5"/>
  <c r="J397" i="5"/>
  <c r="E397" i="5"/>
  <c r="J396" i="5"/>
  <c r="E396" i="5"/>
  <c r="K395" i="5"/>
  <c r="J395" i="5"/>
  <c r="H395" i="5"/>
  <c r="G395" i="5"/>
  <c r="F395" i="5"/>
  <c r="K394" i="5"/>
  <c r="J394" i="5"/>
  <c r="H394" i="5"/>
  <c r="R394" i="5" s="1"/>
  <c r="G394" i="5"/>
  <c r="F394" i="5"/>
  <c r="V393" i="5"/>
  <c r="K397" i="5" s="1"/>
  <c r="T393" i="5"/>
  <c r="K396" i="5" s="1"/>
  <c r="U393" i="5"/>
  <c r="H397" i="5" s="1"/>
  <c r="S393" i="5"/>
  <c r="H396" i="5" s="1"/>
  <c r="F393" i="5"/>
  <c r="E393" i="5"/>
  <c r="D393" i="5"/>
  <c r="I393" i="5"/>
  <c r="C393" i="5"/>
  <c r="B393" i="5"/>
  <c r="A393" i="5"/>
  <c r="A392" i="5"/>
  <c r="A390" i="5"/>
  <c r="L388" i="5"/>
  <c r="Q388" i="5" s="1"/>
  <c r="Z388" i="5"/>
  <c r="Y388" i="5"/>
  <c r="X388" i="5"/>
  <c r="K387" i="5"/>
  <c r="J388" i="5" s="1"/>
  <c r="P388" i="5" s="1"/>
  <c r="H387" i="5"/>
  <c r="G388" i="5" s="1"/>
  <c r="O388" i="5" s="1"/>
  <c r="J387" i="5"/>
  <c r="G387" i="5"/>
  <c r="F387" i="5"/>
  <c r="V387" i="5"/>
  <c r="T387" i="5"/>
  <c r="U387" i="5"/>
  <c r="S387" i="5"/>
  <c r="E387" i="5"/>
  <c r="D387" i="5"/>
  <c r="I387" i="5"/>
  <c r="C387" i="5"/>
  <c r="B387" i="5"/>
  <c r="A387" i="5"/>
  <c r="L386" i="5"/>
  <c r="Q386" i="5" s="1"/>
  <c r="Z386" i="5"/>
  <c r="Y386" i="5"/>
  <c r="X386" i="5"/>
  <c r="K385" i="5"/>
  <c r="J386" i="5" s="1"/>
  <c r="P386" i="5" s="1"/>
  <c r="H385" i="5"/>
  <c r="G386" i="5" s="1"/>
  <c r="O386" i="5" s="1"/>
  <c r="J385" i="5"/>
  <c r="G385" i="5"/>
  <c r="F385" i="5"/>
  <c r="V385" i="5"/>
  <c r="T385" i="5"/>
  <c r="U385" i="5"/>
  <c r="S385" i="5"/>
  <c r="E385" i="5"/>
  <c r="D385" i="5"/>
  <c r="I385" i="5"/>
  <c r="C385" i="5"/>
  <c r="B385" i="5"/>
  <c r="A385" i="5"/>
  <c r="L384" i="5"/>
  <c r="Q384" i="5" s="1"/>
  <c r="Z384" i="5"/>
  <c r="Y384" i="5"/>
  <c r="X384" i="5"/>
  <c r="L383" i="5"/>
  <c r="G383" i="5"/>
  <c r="E383" i="5"/>
  <c r="J382" i="5"/>
  <c r="F382" i="5"/>
  <c r="E382" i="5"/>
  <c r="J381" i="5"/>
  <c r="F381" i="5"/>
  <c r="E381" i="5"/>
  <c r="K380" i="5"/>
  <c r="J380" i="5"/>
  <c r="H380" i="5"/>
  <c r="G380" i="5"/>
  <c r="F380" i="5"/>
  <c r="K379" i="5"/>
  <c r="J379" i="5"/>
  <c r="H379" i="5"/>
  <c r="R379" i="5" s="1"/>
  <c r="G379" i="5"/>
  <c r="F379" i="5"/>
  <c r="K378" i="5"/>
  <c r="J378" i="5"/>
  <c r="H378" i="5"/>
  <c r="G378" i="5"/>
  <c r="F378" i="5"/>
  <c r="K377" i="5"/>
  <c r="J377" i="5"/>
  <c r="H377" i="5"/>
  <c r="G377" i="5"/>
  <c r="F377" i="5"/>
  <c r="C376" i="5"/>
  <c r="V375" i="5"/>
  <c r="K382" i="5" s="1"/>
  <c r="T375" i="5"/>
  <c r="K381" i="5" s="1"/>
  <c r="U375" i="5"/>
  <c r="H382" i="5" s="1"/>
  <c r="S375" i="5"/>
  <c r="H381" i="5" s="1"/>
  <c r="F375" i="5"/>
  <c r="E375" i="5"/>
  <c r="D375" i="5"/>
  <c r="I375" i="5"/>
  <c r="C375" i="5"/>
  <c r="B375" i="5"/>
  <c r="A375" i="5"/>
  <c r="L374" i="5"/>
  <c r="Q374" i="5" s="1"/>
  <c r="Z374" i="5"/>
  <c r="Y374" i="5"/>
  <c r="X374" i="5"/>
  <c r="K373" i="5"/>
  <c r="J373" i="5"/>
  <c r="Z373" i="5"/>
  <c r="Y373" i="5"/>
  <c r="X373" i="5"/>
  <c r="H373" i="5"/>
  <c r="W373" i="5" s="1"/>
  <c r="F373" i="5"/>
  <c r="V373" i="5"/>
  <c r="T373" i="5"/>
  <c r="U373" i="5"/>
  <c r="S373" i="5"/>
  <c r="E373" i="5"/>
  <c r="D373" i="5"/>
  <c r="C373" i="5"/>
  <c r="B373" i="5"/>
  <c r="A373" i="5"/>
  <c r="K372" i="5"/>
  <c r="J372" i="5"/>
  <c r="Z372" i="5"/>
  <c r="Y372" i="5"/>
  <c r="X372" i="5"/>
  <c r="H372" i="5"/>
  <c r="W372" i="5" s="1"/>
  <c r="F372" i="5"/>
  <c r="V372" i="5"/>
  <c r="T372" i="5"/>
  <c r="U372" i="5"/>
  <c r="S372" i="5"/>
  <c r="E372" i="5"/>
  <c r="D372" i="5"/>
  <c r="C372" i="5"/>
  <c r="B372" i="5"/>
  <c r="A372" i="5"/>
  <c r="L371" i="5"/>
  <c r="G371" i="5"/>
  <c r="E371" i="5"/>
  <c r="J370" i="5"/>
  <c r="E370" i="5"/>
  <c r="J369" i="5"/>
  <c r="E369" i="5"/>
  <c r="K368" i="5"/>
  <c r="J368" i="5"/>
  <c r="H368" i="5"/>
  <c r="G368" i="5"/>
  <c r="F368" i="5"/>
  <c r="K367" i="5"/>
  <c r="J367" i="5"/>
  <c r="H367" i="5"/>
  <c r="R367" i="5" s="1"/>
  <c r="G367" i="5"/>
  <c r="F367" i="5"/>
  <c r="K366" i="5"/>
  <c r="J366" i="5"/>
  <c r="H366" i="5"/>
  <c r="G366" i="5"/>
  <c r="F366" i="5"/>
  <c r="K365" i="5"/>
  <c r="J365" i="5"/>
  <c r="H365" i="5"/>
  <c r="R365" i="5" s="1"/>
  <c r="G365" i="5"/>
  <c r="F365" i="5"/>
  <c r="C364" i="5"/>
  <c r="V363" i="5"/>
  <c r="T363" i="5"/>
  <c r="U363" i="5"/>
  <c r="S363" i="5"/>
  <c r="F363" i="5"/>
  <c r="E363" i="5"/>
  <c r="D363" i="5"/>
  <c r="I363" i="5"/>
  <c r="C363" i="5"/>
  <c r="B363" i="5"/>
  <c r="A363" i="5"/>
  <c r="L362" i="5"/>
  <c r="Q362" i="5" s="1"/>
  <c r="Z362" i="5"/>
  <c r="Y362" i="5"/>
  <c r="X362" i="5"/>
  <c r="K361" i="5"/>
  <c r="J361" i="5"/>
  <c r="Z361" i="5"/>
  <c r="Y361" i="5"/>
  <c r="X361" i="5"/>
  <c r="H361" i="5"/>
  <c r="W361" i="5" s="1"/>
  <c r="F361" i="5"/>
  <c r="V361" i="5"/>
  <c r="T361" i="5"/>
  <c r="U361" i="5"/>
  <c r="S361" i="5"/>
  <c r="E361" i="5"/>
  <c r="D361" i="5"/>
  <c r="C361" i="5"/>
  <c r="B361" i="5"/>
  <c r="A361" i="5"/>
  <c r="K360" i="5"/>
  <c r="J360" i="5"/>
  <c r="Z360" i="5"/>
  <c r="Y360" i="5"/>
  <c r="X360" i="5"/>
  <c r="H360" i="5"/>
  <c r="W360" i="5" s="1"/>
  <c r="F360" i="5"/>
  <c r="V360" i="5"/>
  <c r="T360" i="5"/>
  <c r="U360" i="5"/>
  <c r="S360" i="5"/>
  <c r="E360" i="5"/>
  <c r="D360" i="5"/>
  <c r="C360" i="5"/>
  <c r="B360" i="5"/>
  <c r="A360" i="5"/>
  <c r="K359" i="5"/>
  <c r="J359" i="5"/>
  <c r="Z359" i="5"/>
  <c r="Y359" i="5"/>
  <c r="X359" i="5"/>
  <c r="H359" i="5"/>
  <c r="W359" i="5" s="1"/>
  <c r="F359" i="5"/>
  <c r="V359" i="5"/>
  <c r="T359" i="5"/>
  <c r="U359" i="5"/>
  <c r="S359" i="5"/>
  <c r="E359" i="5"/>
  <c r="D359" i="5"/>
  <c r="C359" i="5"/>
  <c r="B359" i="5"/>
  <c r="A359" i="5"/>
  <c r="K358" i="5"/>
  <c r="J358" i="5"/>
  <c r="Z358" i="5"/>
  <c r="Y358" i="5"/>
  <c r="X358" i="5"/>
  <c r="H358" i="5"/>
  <c r="W358" i="5" s="1"/>
  <c r="F358" i="5"/>
  <c r="V358" i="5"/>
  <c r="T358" i="5"/>
  <c r="U358" i="5"/>
  <c r="S358" i="5"/>
  <c r="E358" i="5"/>
  <c r="D358" i="5"/>
  <c r="C358" i="5"/>
  <c r="B358" i="5"/>
  <c r="A358" i="5"/>
  <c r="K357" i="5"/>
  <c r="J357" i="5"/>
  <c r="Z357" i="5"/>
  <c r="Y357" i="5"/>
  <c r="X357" i="5"/>
  <c r="H357" i="5"/>
  <c r="W357" i="5" s="1"/>
  <c r="F357" i="5"/>
  <c r="V357" i="5"/>
  <c r="T357" i="5"/>
  <c r="U357" i="5"/>
  <c r="S357" i="5"/>
  <c r="E357" i="5"/>
  <c r="D357" i="5"/>
  <c r="C357" i="5"/>
  <c r="B357" i="5"/>
  <c r="A357" i="5"/>
  <c r="K356" i="5"/>
  <c r="J356" i="5"/>
  <c r="Z356" i="5"/>
  <c r="Y356" i="5"/>
  <c r="X356" i="5"/>
  <c r="H356" i="5"/>
  <c r="W356" i="5" s="1"/>
  <c r="F356" i="5"/>
  <c r="V356" i="5"/>
  <c r="T356" i="5"/>
  <c r="U356" i="5"/>
  <c r="S356" i="5"/>
  <c r="E356" i="5"/>
  <c r="D356" i="5"/>
  <c r="C356" i="5"/>
  <c r="B356" i="5"/>
  <c r="A356" i="5"/>
  <c r="K355" i="5"/>
  <c r="J355" i="5"/>
  <c r="Z355" i="5"/>
  <c r="Y355" i="5"/>
  <c r="X355" i="5"/>
  <c r="H355" i="5"/>
  <c r="W355" i="5" s="1"/>
  <c r="F355" i="5"/>
  <c r="V355" i="5"/>
  <c r="T355" i="5"/>
  <c r="U355" i="5"/>
  <c r="S355" i="5"/>
  <c r="E355" i="5"/>
  <c r="D355" i="5"/>
  <c r="C355" i="5"/>
  <c r="B355" i="5"/>
  <c r="A355" i="5"/>
  <c r="K354" i="5"/>
  <c r="J354" i="5"/>
  <c r="Z354" i="5"/>
  <c r="Y354" i="5"/>
  <c r="X354" i="5"/>
  <c r="H354" i="5"/>
  <c r="W354" i="5" s="1"/>
  <c r="F354" i="5"/>
  <c r="V354" i="5"/>
  <c r="T354" i="5"/>
  <c r="U354" i="5"/>
  <c r="S354" i="5"/>
  <c r="E354" i="5"/>
  <c r="D354" i="5"/>
  <c r="C354" i="5"/>
  <c r="B354" i="5"/>
  <c r="A354" i="5"/>
  <c r="L353" i="5"/>
  <c r="G353" i="5"/>
  <c r="E353" i="5"/>
  <c r="J352" i="5"/>
  <c r="F352" i="5"/>
  <c r="E352" i="5"/>
  <c r="J351" i="5"/>
  <c r="F351" i="5"/>
  <c r="E351" i="5"/>
  <c r="K350" i="5"/>
  <c r="J350" i="5"/>
  <c r="H350" i="5"/>
  <c r="G350" i="5"/>
  <c r="F350" i="5"/>
  <c r="K349" i="5"/>
  <c r="J349" i="5"/>
  <c r="H349" i="5"/>
  <c r="G349" i="5"/>
  <c r="F349" i="5"/>
  <c r="K348" i="5"/>
  <c r="J348" i="5"/>
  <c r="H348" i="5"/>
  <c r="R348" i="5" s="1"/>
  <c r="G348" i="5"/>
  <c r="F348" i="5"/>
  <c r="C347" i="5"/>
  <c r="V346" i="5"/>
  <c r="T346" i="5"/>
  <c r="U346" i="5"/>
  <c r="S346" i="5"/>
  <c r="F346" i="5"/>
  <c r="E346" i="5"/>
  <c r="D346" i="5"/>
  <c r="I346" i="5"/>
  <c r="C346" i="5"/>
  <c r="B346" i="5"/>
  <c r="A346" i="5"/>
  <c r="L345" i="5"/>
  <c r="Q345" i="5" s="1"/>
  <c r="Z345" i="5"/>
  <c r="Y345" i="5"/>
  <c r="X345" i="5"/>
  <c r="K344" i="5"/>
  <c r="J344" i="5"/>
  <c r="Z344" i="5"/>
  <c r="Y344" i="5"/>
  <c r="X344" i="5"/>
  <c r="H344" i="5"/>
  <c r="W344" i="5" s="1"/>
  <c r="F344" i="5"/>
  <c r="V344" i="5"/>
  <c r="T344" i="5"/>
  <c r="U344" i="5"/>
  <c r="S344" i="5"/>
  <c r="E344" i="5"/>
  <c r="D344" i="5"/>
  <c r="C344" i="5"/>
  <c r="B344" i="5"/>
  <c r="A344" i="5"/>
  <c r="K343" i="5"/>
  <c r="J343" i="5"/>
  <c r="Z343" i="5"/>
  <c r="Y343" i="5"/>
  <c r="X343" i="5"/>
  <c r="H343" i="5"/>
  <c r="W343" i="5" s="1"/>
  <c r="F343" i="5"/>
  <c r="V343" i="5"/>
  <c r="T343" i="5"/>
  <c r="U343" i="5"/>
  <c r="S343" i="5"/>
  <c r="E343" i="5"/>
  <c r="D343" i="5"/>
  <c r="C343" i="5"/>
  <c r="B343" i="5"/>
  <c r="A343" i="5"/>
  <c r="K342" i="5"/>
  <c r="J342" i="5"/>
  <c r="Z342" i="5"/>
  <c r="Y342" i="5"/>
  <c r="X342" i="5"/>
  <c r="H342" i="5"/>
  <c r="W342" i="5" s="1"/>
  <c r="F342" i="5"/>
  <c r="V342" i="5"/>
  <c r="T342" i="5"/>
  <c r="U342" i="5"/>
  <c r="S342" i="5"/>
  <c r="E342" i="5"/>
  <c r="D342" i="5"/>
  <c r="C342" i="5"/>
  <c r="B342" i="5"/>
  <c r="A342" i="5"/>
  <c r="K341" i="5"/>
  <c r="J341" i="5"/>
  <c r="Z341" i="5"/>
  <c r="Y341" i="5"/>
  <c r="X341" i="5"/>
  <c r="H341" i="5"/>
  <c r="W341" i="5" s="1"/>
  <c r="F341" i="5"/>
  <c r="V341" i="5"/>
  <c r="T341" i="5"/>
  <c r="U341" i="5"/>
  <c r="S341" i="5"/>
  <c r="E341" i="5"/>
  <c r="D341" i="5"/>
  <c r="C341" i="5"/>
  <c r="B341" i="5"/>
  <c r="A341" i="5"/>
  <c r="K340" i="5"/>
  <c r="J340" i="5"/>
  <c r="Z340" i="5"/>
  <c r="Y340" i="5"/>
  <c r="X340" i="5"/>
  <c r="H340" i="5"/>
  <c r="W340" i="5" s="1"/>
  <c r="F340" i="5"/>
  <c r="V340" i="5"/>
  <c r="T340" i="5"/>
  <c r="U340" i="5"/>
  <c r="S340" i="5"/>
  <c r="E340" i="5"/>
  <c r="D340" i="5"/>
  <c r="C340" i="5"/>
  <c r="B340" i="5"/>
  <c r="A340" i="5"/>
  <c r="L339" i="5"/>
  <c r="G339" i="5"/>
  <c r="E339" i="5"/>
  <c r="J338" i="5"/>
  <c r="F338" i="5"/>
  <c r="E338" i="5"/>
  <c r="J337" i="5"/>
  <c r="F337" i="5"/>
  <c r="E337" i="5"/>
  <c r="K336" i="5"/>
  <c r="J336" i="5"/>
  <c r="H336" i="5"/>
  <c r="G336" i="5"/>
  <c r="F336" i="5"/>
  <c r="K335" i="5"/>
  <c r="J335" i="5"/>
  <c r="H335" i="5"/>
  <c r="R335" i="5" s="1"/>
  <c r="G335" i="5"/>
  <c r="F335" i="5"/>
  <c r="K334" i="5"/>
  <c r="J334" i="5"/>
  <c r="H334" i="5"/>
  <c r="G334" i="5"/>
  <c r="F334" i="5"/>
  <c r="K333" i="5"/>
  <c r="J333" i="5"/>
  <c r="H333" i="5"/>
  <c r="R333" i="5" s="1"/>
  <c r="G333" i="5"/>
  <c r="F333" i="5"/>
  <c r="C332" i="5"/>
  <c r="V331" i="5"/>
  <c r="T331" i="5"/>
  <c r="U331" i="5"/>
  <c r="S331" i="5"/>
  <c r="F331" i="5"/>
  <c r="E331" i="5"/>
  <c r="D331" i="5"/>
  <c r="I331" i="5"/>
  <c r="C331" i="5"/>
  <c r="B331" i="5"/>
  <c r="A331" i="5"/>
  <c r="L330" i="5"/>
  <c r="Q330" i="5" s="1"/>
  <c r="Z330" i="5"/>
  <c r="Y330" i="5"/>
  <c r="X330" i="5"/>
  <c r="K329" i="5"/>
  <c r="J329" i="5"/>
  <c r="Z329" i="5"/>
  <c r="Y329" i="5"/>
  <c r="X329" i="5"/>
  <c r="H329" i="5"/>
  <c r="W329" i="5" s="1"/>
  <c r="F329" i="5"/>
  <c r="V329" i="5"/>
  <c r="T329" i="5"/>
  <c r="U329" i="5"/>
  <c r="S329" i="5"/>
  <c r="E329" i="5"/>
  <c r="D329" i="5"/>
  <c r="C329" i="5"/>
  <c r="B329" i="5"/>
  <c r="A329" i="5"/>
  <c r="K328" i="5"/>
  <c r="J328" i="5"/>
  <c r="Z328" i="5"/>
  <c r="Y328" i="5"/>
  <c r="X328" i="5"/>
  <c r="H328" i="5"/>
  <c r="W328" i="5" s="1"/>
  <c r="F328" i="5"/>
  <c r="V328" i="5"/>
  <c r="T328" i="5"/>
  <c r="U328" i="5"/>
  <c r="S328" i="5"/>
  <c r="E328" i="5"/>
  <c r="D328" i="5"/>
  <c r="C328" i="5"/>
  <c r="B328" i="5"/>
  <c r="A328" i="5"/>
  <c r="K327" i="5"/>
  <c r="J327" i="5"/>
  <c r="Z327" i="5"/>
  <c r="Y327" i="5"/>
  <c r="X327" i="5"/>
  <c r="H327" i="5"/>
  <c r="W327" i="5" s="1"/>
  <c r="F327" i="5"/>
  <c r="V327" i="5"/>
  <c r="T327" i="5"/>
  <c r="U327" i="5"/>
  <c r="S327" i="5"/>
  <c r="E327" i="5"/>
  <c r="D327" i="5"/>
  <c r="C327" i="5"/>
  <c r="B327" i="5"/>
  <c r="A327" i="5"/>
  <c r="K326" i="5"/>
  <c r="J326" i="5"/>
  <c r="Z326" i="5"/>
  <c r="Y326" i="5"/>
  <c r="X326" i="5"/>
  <c r="H326" i="5"/>
  <c r="W326" i="5" s="1"/>
  <c r="F326" i="5"/>
  <c r="V326" i="5"/>
  <c r="T326" i="5"/>
  <c r="U326" i="5"/>
  <c r="S326" i="5"/>
  <c r="E326" i="5"/>
  <c r="D326" i="5"/>
  <c r="C326" i="5"/>
  <c r="B326" i="5"/>
  <c r="A326" i="5"/>
  <c r="K325" i="5"/>
  <c r="J325" i="5"/>
  <c r="Z325" i="5"/>
  <c r="Y325" i="5"/>
  <c r="X325" i="5"/>
  <c r="H325" i="5"/>
  <c r="W325" i="5" s="1"/>
  <c r="F325" i="5"/>
  <c r="V325" i="5"/>
  <c r="T325" i="5"/>
  <c r="U325" i="5"/>
  <c r="S325" i="5"/>
  <c r="E325" i="5"/>
  <c r="D325" i="5"/>
  <c r="C325" i="5"/>
  <c r="B325" i="5"/>
  <c r="A325" i="5"/>
  <c r="K324" i="5"/>
  <c r="J324" i="5"/>
  <c r="Z324" i="5"/>
  <c r="Y324" i="5"/>
  <c r="X324" i="5"/>
  <c r="H324" i="5"/>
  <c r="W324" i="5" s="1"/>
  <c r="F324" i="5"/>
  <c r="V324" i="5"/>
  <c r="T324" i="5"/>
  <c r="U324" i="5"/>
  <c r="S324" i="5"/>
  <c r="E324" i="5"/>
  <c r="D324" i="5"/>
  <c r="C324" i="5"/>
  <c r="B324" i="5"/>
  <c r="A324" i="5"/>
  <c r="K323" i="5"/>
  <c r="J323" i="5"/>
  <c r="Z323" i="5"/>
  <c r="Y323" i="5"/>
  <c r="X323" i="5"/>
  <c r="H323" i="5"/>
  <c r="W323" i="5" s="1"/>
  <c r="F323" i="5"/>
  <c r="V323" i="5"/>
  <c r="T323" i="5"/>
  <c r="U323" i="5"/>
  <c r="S323" i="5"/>
  <c r="E323" i="5"/>
  <c r="D323" i="5"/>
  <c r="C323" i="5"/>
  <c r="B323" i="5"/>
  <c r="A323" i="5"/>
  <c r="K322" i="5"/>
  <c r="J322" i="5"/>
  <c r="Z322" i="5"/>
  <c r="Y322" i="5"/>
  <c r="X322" i="5"/>
  <c r="H322" i="5"/>
  <c r="W322" i="5" s="1"/>
  <c r="F322" i="5"/>
  <c r="V322" i="5"/>
  <c r="T322" i="5"/>
  <c r="U322" i="5"/>
  <c r="S322" i="5"/>
  <c r="E322" i="5"/>
  <c r="D322" i="5"/>
  <c r="C322" i="5"/>
  <c r="B322" i="5"/>
  <c r="A322" i="5"/>
  <c r="K321" i="5"/>
  <c r="J321" i="5"/>
  <c r="Z321" i="5"/>
  <c r="Y321" i="5"/>
  <c r="X321" i="5"/>
  <c r="H321" i="5"/>
  <c r="W321" i="5" s="1"/>
  <c r="F321" i="5"/>
  <c r="V321" i="5"/>
  <c r="T321" i="5"/>
  <c r="U321" i="5"/>
  <c r="S321" i="5"/>
  <c r="E321" i="5"/>
  <c r="D321" i="5"/>
  <c r="C321" i="5"/>
  <c r="B321" i="5"/>
  <c r="A321" i="5"/>
  <c r="K320" i="5"/>
  <c r="J320" i="5"/>
  <c r="Z320" i="5"/>
  <c r="Y320" i="5"/>
  <c r="X320" i="5"/>
  <c r="H320" i="5"/>
  <c r="W320" i="5" s="1"/>
  <c r="F320" i="5"/>
  <c r="V320" i="5"/>
  <c r="T320" i="5"/>
  <c r="U320" i="5"/>
  <c r="S320" i="5"/>
  <c r="E320" i="5"/>
  <c r="D320" i="5"/>
  <c r="C320" i="5"/>
  <c r="B320" i="5"/>
  <c r="A320" i="5"/>
  <c r="K319" i="5"/>
  <c r="J319" i="5"/>
  <c r="Z319" i="5"/>
  <c r="Y319" i="5"/>
  <c r="X319" i="5"/>
  <c r="H319" i="5"/>
  <c r="W319" i="5" s="1"/>
  <c r="F319" i="5"/>
  <c r="V319" i="5"/>
  <c r="T319" i="5"/>
  <c r="U319" i="5"/>
  <c r="S319" i="5"/>
  <c r="E319" i="5"/>
  <c r="D319" i="5"/>
  <c r="C319" i="5"/>
  <c r="B319" i="5"/>
  <c r="A319" i="5"/>
  <c r="K318" i="5"/>
  <c r="J318" i="5"/>
  <c r="Z318" i="5"/>
  <c r="Y318" i="5"/>
  <c r="X318" i="5"/>
  <c r="H318" i="5"/>
  <c r="W318" i="5" s="1"/>
  <c r="F318" i="5"/>
  <c r="V318" i="5"/>
  <c r="T318" i="5"/>
  <c r="U318" i="5"/>
  <c r="S318" i="5"/>
  <c r="E318" i="5"/>
  <c r="D318" i="5"/>
  <c r="C318" i="5"/>
  <c r="B318" i="5"/>
  <c r="A318" i="5"/>
  <c r="L317" i="5"/>
  <c r="G317" i="5"/>
  <c r="E317" i="5"/>
  <c r="J316" i="5"/>
  <c r="F316" i="5"/>
  <c r="E316" i="5"/>
  <c r="J315" i="5"/>
  <c r="F315" i="5"/>
  <c r="E315" i="5"/>
  <c r="K314" i="5"/>
  <c r="J314" i="5"/>
  <c r="H314" i="5"/>
  <c r="G314" i="5"/>
  <c r="F314" i="5"/>
  <c r="K313" i="5"/>
  <c r="J313" i="5"/>
  <c r="H313" i="5"/>
  <c r="R313" i="5" s="1"/>
  <c r="G313" i="5"/>
  <c r="F313" i="5"/>
  <c r="K312" i="5"/>
  <c r="J312" i="5"/>
  <c r="H312" i="5"/>
  <c r="G312" i="5"/>
  <c r="F312" i="5"/>
  <c r="K311" i="5"/>
  <c r="J311" i="5"/>
  <c r="H311" i="5"/>
  <c r="G311" i="5"/>
  <c r="F311" i="5"/>
  <c r="C310" i="5"/>
  <c r="V309" i="5"/>
  <c r="T309" i="5"/>
  <c r="U309" i="5"/>
  <c r="S309" i="5"/>
  <c r="F309" i="5"/>
  <c r="E309" i="5"/>
  <c r="D309" i="5"/>
  <c r="I309" i="5"/>
  <c r="C309" i="5"/>
  <c r="B309" i="5"/>
  <c r="A309" i="5"/>
  <c r="L308" i="5"/>
  <c r="Q308" i="5" s="1"/>
  <c r="Z308" i="5"/>
  <c r="Y308" i="5"/>
  <c r="X308" i="5"/>
  <c r="K307" i="5"/>
  <c r="J307" i="5"/>
  <c r="Z307" i="5"/>
  <c r="Y307" i="5"/>
  <c r="X307" i="5"/>
  <c r="H307" i="5"/>
  <c r="W307" i="5" s="1"/>
  <c r="F307" i="5"/>
  <c r="V307" i="5"/>
  <c r="T307" i="5"/>
  <c r="U307" i="5"/>
  <c r="S307" i="5"/>
  <c r="E307" i="5"/>
  <c r="D307" i="5"/>
  <c r="C307" i="5"/>
  <c r="B307" i="5"/>
  <c r="A307" i="5"/>
  <c r="K306" i="5"/>
  <c r="J306" i="5"/>
  <c r="Z306" i="5"/>
  <c r="Y306" i="5"/>
  <c r="X306" i="5"/>
  <c r="H306" i="5"/>
  <c r="W306" i="5" s="1"/>
  <c r="F306" i="5"/>
  <c r="V306" i="5"/>
  <c r="T306" i="5"/>
  <c r="U306" i="5"/>
  <c r="S306" i="5"/>
  <c r="E306" i="5"/>
  <c r="D306" i="5"/>
  <c r="C306" i="5"/>
  <c r="B306" i="5"/>
  <c r="A306" i="5"/>
  <c r="K305" i="5"/>
  <c r="J305" i="5"/>
  <c r="Z305" i="5"/>
  <c r="Y305" i="5"/>
  <c r="X305" i="5"/>
  <c r="H305" i="5"/>
  <c r="W305" i="5" s="1"/>
  <c r="F305" i="5"/>
  <c r="V305" i="5"/>
  <c r="T305" i="5"/>
  <c r="U305" i="5"/>
  <c r="S305" i="5"/>
  <c r="E305" i="5"/>
  <c r="D305" i="5"/>
  <c r="C305" i="5"/>
  <c r="B305" i="5"/>
  <c r="A305" i="5"/>
  <c r="K304" i="5"/>
  <c r="J304" i="5"/>
  <c r="Z304" i="5"/>
  <c r="Y304" i="5"/>
  <c r="X304" i="5"/>
  <c r="H304" i="5"/>
  <c r="W304" i="5" s="1"/>
  <c r="F304" i="5"/>
  <c r="V304" i="5"/>
  <c r="T304" i="5"/>
  <c r="U304" i="5"/>
  <c r="S304" i="5"/>
  <c r="E304" i="5"/>
  <c r="D304" i="5"/>
  <c r="C304" i="5"/>
  <c r="B304" i="5"/>
  <c r="A304" i="5"/>
  <c r="L303" i="5"/>
  <c r="G303" i="5"/>
  <c r="E303" i="5"/>
  <c r="J302" i="5"/>
  <c r="F302" i="5"/>
  <c r="E302" i="5"/>
  <c r="J301" i="5"/>
  <c r="F301" i="5"/>
  <c r="E301" i="5"/>
  <c r="K300" i="5"/>
  <c r="J300" i="5"/>
  <c r="H300" i="5"/>
  <c r="R300" i="5" s="1"/>
  <c r="G300" i="5"/>
  <c r="F300" i="5"/>
  <c r="K299" i="5"/>
  <c r="J299" i="5"/>
  <c r="H299" i="5"/>
  <c r="G299" i="5"/>
  <c r="F299" i="5"/>
  <c r="K298" i="5"/>
  <c r="J298" i="5"/>
  <c r="H298" i="5"/>
  <c r="R298" i="5" s="1"/>
  <c r="G298" i="5"/>
  <c r="F298" i="5"/>
  <c r="C297" i="5"/>
  <c r="V296" i="5"/>
  <c r="T296" i="5"/>
  <c r="U296" i="5"/>
  <c r="S296" i="5"/>
  <c r="F296" i="5"/>
  <c r="E296" i="5"/>
  <c r="D296" i="5"/>
  <c r="I296" i="5"/>
  <c r="C296" i="5"/>
  <c r="B296" i="5"/>
  <c r="A296" i="5"/>
  <c r="L295" i="5"/>
  <c r="Q295" i="5" s="1"/>
  <c r="Z295" i="5"/>
  <c r="Y295" i="5"/>
  <c r="X295" i="5"/>
  <c r="K294" i="5"/>
  <c r="J294" i="5"/>
  <c r="Z294" i="5"/>
  <c r="Y294" i="5"/>
  <c r="X294" i="5"/>
  <c r="H294" i="5"/>
  <c r="W294" i="5" s="1"/>
  <c r="F294" i="5"/>
  <c r="V294" i="5"/>
  <c r="T294" i="5"/>
  <c r="U294" i="5"/>
  <c r="S294" i="5"/>
  <c r="E294" i="5"/>
  <c r="D294" i="5"/>
  <c r="C294" i="5"/>
  <c r="B294" i="5"/>
  <c r="A294" i="5"/>
  <c r="K293" i="5"/>
  <c r="J293" i="5"/>
  <c r="Z293" i="5"/>
  <c r="Y293" i="5"/>
  <c r="X293" i="5"/>
  <c r="H293" i="5"/>
  <c r="W293" i="5" s="1"/>
  <c r="F293" i="5"/>
  <c r="V293" i="5"/>
  <c r="T293" i="5"/>
  <c r="U293" i="5"/>
  <c r="S293" i="5"/>
  <c r="E293" i="5"/>
  <c r="D293" i="5"/>
  <c r="C293" i="5"/>
  <c r="B293" i="5"/>
  <c r="A293" i="5"/>
  <c r="K292" i="5"/>
  <c r="J292" i="5"/>
  <c r="Z292" i="5"/>
  <c r="Y292" i="5"/>
  <c r="X292" i="5"/>
  <c r="H292" i="5"/>
  <c r="W292" i="5" s="1"/>
  <c r="F292" i="5"/>
  <c r="V292" i="5"/>
  <c r="T292" i="5"/>
  <c r="U292" i="5"/>
  <c r="S292" i="5"/>
  <c r="E292" i="5"/>
  <c r="D292" i="5"/>
  <c r="C292" i="5"/>
  <c r="B292" i="5"/>
  <c r="A292" i="5"/>
  <c r="K291" i="5"/>
  <c r="J291" i="5"/>
  <c r="Z291" i="5"/>
  <c r="Y291" i="5"/>
  <c r="X291" i="5"/>
  <c r="H291" i="5"/>
  <c r="W291" i="5" s="1"/>
  <c r="F291" i="5"/>
  <c r="V291" i="5"/>
  <c r="T291" i="5"/>
  <c r="U291" i="5"/>
  <c r="S291" i="5"/>
  <c r="E291" i="5"/>
  <c r="D291" i="5"/>
  <c r="C291" i="5"/>
  <c r="B291" i="5"/>
  <c r="A291" i="5"/>
  <c r="L290" i="5"/>
  <c r="G290" i="5"/>
  <c r="E290" i="5"/>
  <c r="J289" i="5"/>
  <c r="F289" i="5"/>
  <c r="E289" i="5"/>
  <c r="J288" i="5"/>
  <c r="F288" i="5"/>
  <c r="E288" i="5"/>
  <c r="K287" i="5"/>
  <c r="J287" i="5"/>
  <c r="H287" i="5"/>
  <c r="G287" i="5"/>
  <c r="F287" i="5"/>
  <c r="K286" i="5"/>
  <c r="J286" i="5"/>
  <c r="H286" i="5"/>
  <c r="R286" i="5" s="1"/>
  <c r="G286" i="5"/>
  <c r="F286" i="5"/>
  <c r="K285" i="5"/>
  <c r="J285" i="5"/>
  <c r="H285" i="5"/>
  <c r="G285" i="5"/>
  <c r="F285" i="5"/>
  <c r="K284" i="5"/>
  <c r="J284" i="5"/>
  <c r="H284" i="5"/>
  <c r="R284" i="5" s="1"/>
  <c r="G284" i="5"/>
  <c r="F284" i="5"/>
  <c r="C283" i="5"/>
  <c r="V282" i="5"/>
  <c r="T282" i="5"/>
  <c r="U282" i="5"/>
  <c r="S282" i="5"/>
  <c r="H288" i="5" s="1"/>
  <c r="F282" i="5"/>
  <c r="E282" i="5"/>
  <c r="D282" i="5"/>
  <c r="I282" i="5"/>
  <c r="C282" i="5"/>
  <c r="B282" i="5"/>
  <c r="A282" i="5"/>
  <c r="L281" i="5"/>
  <c r="Q281" i="5" s="1"/>
  <c r="Z281" i="5"/>
  <c r="Y281" i="5"/>
  <c r="X281" i="5"/>
  <c r="K280" i="5"/>
  <c r="J280" i="5"/>
  <c r="Z280" i="5"/>
  <c r="Y280" i="5"/>
  <c r="X280" i="5"/>
  <c r="H280" i="5"/>
  <c r="W280" i="5" s="1"/>
  <c r="F280" i="5"/>
  <c r="V280" i="5"/>
  <c r="T280" i="5"/>
  <c r="U280" i="5"/>
  <c r="S280" i="5"/>
  <c r="E280" i="5"/>
  <c r="D280" i="5"/>
  <c r="C280" i="5"/>
  <c r="B280" i="5"/>
  <c r="A280" i="5"/>
  <c r="K279" i="5"/>
  <c r="J279" i="5"/>
  <c r="Z279" i="5"/>
  <c r="Y279" i="5"/>
  <c r="X279" i="5"/>
  <c r="H279" i="5"/>
  <c r="W279" i="5" s="1"/>
  <c r="F279" i="5"/>
  <c r="V279" i="5"/>
  <c r="T279" i="5"/>
  <c r="U279" i="5"/>
  <c r="S279" i="5"/>
  <c r="E279" i="5"/>
  <c r="D279" i="5"/>
  <c r="C279" i="5"/>
  <c r="B279" i="5"/>
  <c r="A279" i="5"/>
  <c r="K278" i="5"/>
  <c r="J278" i="5"/>
  <c r="Z278" i="5"/>
  <c r="Y278" i="5"/>
  <c r="X278" i="5"/>
  <c r="H278" i="5"/>
  <c r="W278" i="5" s="1"/>
  <c r="F278" i="5"/>
  <c r="V278" i="5"/>
  <c r="T278" i="5"/>
  <c r="U278" i="5"/>
  <c r="S278" i="5"/>
  <c r="E278" i="5"/>
  <c r="D278" i="5"/>
  <c r="C278" i="5"/>
  <c r="B278" i="5"/>
  <c r="A278" i="5"/>
  <c r="K277" i="5"/>
  <c r="J277" i="5"/>
  <c r="Z277" i="5"/>
  <c r="Y277" i="5"/>
  <c r="X277" i="5"/>
  <c r="H277" i="5"/>
  <c r="W277" i="5" s="1"/>
  <c r="F277" i="5"/>
  <c r="V277" i="5"/>
  <c r="T277" i="5"/>
  <c r="U277" i="5"/>
  <c r="S277" i="5"/>
  <c r="E277" i="5"/>
  <c r="D277" i="5"/>
  <c r="C277" i="5"/>
  <c r="B277" i="5"/>
  <c r="A277" i="5"/>
  <c r="L276" i="5"/>
  <c r="G276" i="5"/>
  <c r="E276" i="5"/>
  <c r="J275" i="5"/>
  <c r="F275" i="5"/>
  <c r="E275" i="5"/>
  <c r="J274" i="5"/>
  <c r="F274" i="5"/>
  <c r="E274" i="5"/>
  <c r="K273" i="5"/>
  <c r="J273" i="5"/>
  <c r="H273" i="5"/>
  <c r="R273" i="5" s="1"/>
  <c r="G273" i="5"/>
  <c r="F273" i="5"/>
  <c r="K272" i="5"/>
  <c r="J272" i="5"/>
  <c r="H272" i="5"/>
  <c r="G272" i="5"/>
  <c r="F272" i="5"/>
  <c r="K271" i="5"/>
  <c r="J271" i="5"/>
  <c r="H271" i="5"/>
  <c r="R271" i="5" s="1"/>
  <c r="G271" i="5"/>
  <c r="F271" i="5"/>
  <c r="C270" i="5"/>
  <c r="V269" i="5"/>
  <c r="T269" i="5"/>
  <c r="U269" i="5"/>
  <c r="S269" i="5"/>
  <c r="F269" i="5"/>
  <c r="E269" i="5"/>
  <c r="D269" i="5"/>
  <c r="I269" i="5"/>
  <c r="C269" i="5"/>
  <c r="B269" i="5"/>
  <c r="A269" i="5"/>
  <c r="L268" i="5"/>
  <c r="Q268" i="5" s="1"/>
  <c r="Z268" i="5"/>
  <c r="Y268" i="5"/>
  <c r="X268" i="5"/>
  <c r="L267" i="5"/>
  <c r="G267" i="5"/>
  <c r="E267" i="5"/>
  <c r="J266" i="5"/>
  <c r="F266" i="5"/>
  <c r="E266" i="5"/>
  <c r="J265" i="5"/>
  <c r="F265" i="5"/>
  <c r="E265" i="5"/>
  <c r="K264" i="5"/>
  <c r="J264" i="5"/>
  <c r="H264" i="5"/>
  <c r="G264" i="5"/>
  <c r="F264" i="5"/>
  <c r="K263" i="5"/>
  <c r="J263" i="5"/>
  <c r="H263" i="5"/>
  <c r="R263" i="5" s="1"/>
  <c r="G263" i="5"/>
  <c r="F263" i="5"/>
  <c r="K262" i="5"/>
  <c r="J262" i="5"/>
  <c r="H262" i="5"/>
  <c r="G262" i="5"/>
  <c r="F262" i="5"/>
  <c r="K261" i="5"/>
  <c r="J261" i="5"/>
  <c r="H261" i="5"/>
  <c r="R261" i="5" s="1"/>
  <c r="G261" i="5"/>
  <c r="F261" i="5"/>
  <c r="C260" i="5"/>
  <c r="V259" i="5"/>
  <c r="K266" i="5" s="1"/>
  <c r="T259" i="5"/>
  <c r="K265" i="5" s="1"/>
  <c r="U259" i="5"/>
  <c r="H266" i="5" s="1"/>
  <c r="S259" i="5"/>
  <c r="H265" i="5" s="1"/>
  <c r="F259" i="5"/>
  <c r="E259" i="5"/>
  <c r="D259" i="5"/>
  <c r="I259" i="5"/>
  <c r="C259" i="5"/>
  <c r="B259" i="5"/>
  <c r="A259" i="5"/>
  <c r="L258" i="5"/>
  <c r="Q258" i="5" s="1"/>
  <c r="Z258" i="5"/>
  <c r="Y258" i="5"/>
  <c r="X258" i="5"/>
  <c r="K257" i="5"/>
  <c r="J257" i="5"/>
  <c r="Z257" i="5"/>
  <c r="Y257" i="5"/>
  <c r="X257" i="5"/>
  <c r="H257" i="5"/>
  <c r="W257" i="5" s="1"/>
  <c r="F257" i="5"/>
  <c r="V257" i="5"/>
  <c r="T257" i="5"/>
  <c r="U257" i="5"/>
  <c r="S257" i="5"/>
  <c r="E257" i="5"/>
  <c r="D257" i="5"/>
  <c r="C257" i="5"/>
  <c r="B257" i="5"/>
  <c r="A257" i="5"/>
  <c r="K256" i="5"/>
  <c r="J256" i="5"/>
  <c r="Z256" i="5"/>
  <c r="Y256" i="5"/>
  <c r="X256" i="5"/>
  <c r="H256" i="5"/>
  <c r="W256" i="5" s="1"/>
  <c r="F256" i="5"/>
  <c r="V256" i="5"/>
  <c r="T256" i="5"/>
  <c r="U256" i="5"/>
  <c r="S256" i="5"/>
  <c r="E256" i="5"/>
  <c r="D256" i="5"/>
  <c r="C256" i="5"/>
  <c r="B256" i="5"/>
  <c r="A256" i="5"/>
  <c r="L255" i="5"/>
  <c r="G255" i="5"/>
  <c r="E255" i="5"/>
  <c r="J254" i="5"/>
  <c r="F254" i="5"/>
  <c r="E254" i="5"/>
  <c r="J253" i="5"/>
  <c r="F253" i="5"/>
  <c r="E253" i="5"/>
  <c r="K252" i="5"/>
  <c r="J252" i="5"/>
  <c r="H252" i="5"/>
  <c r="G252" i="5"/>
  <c r="F252" i="5"/>
  <c r="K251" i="5"/>
  <c r="J251" i="5"/>
  <c r="H251" i="5"/>
  <c r="R251" i="5" s="1"/>
  <c r="G251" i="5"/>
  <c r="F251" i="5"/>
  <c r="K250" i="5"/>
  <c r="J250" i="5"/>
  <c r="H250" i="5"/>
  <c r="G250" i="5"/>
  <c r="F250" i="5"/>
  <c r="K249" i="5"/>
  <c r="J249" i="5"/>
  <c r="H249" i="5"/>
  <c r="R249" i="5" s="1"/>
  <c r="G249" i="5"/>
  <c r="F249" i="5"/>
  <c r="C248" i="5"/>
  <c r="V247" i="5"/>
  <c r="T247" i="5"/>
  <c r="U247" i="5"/>
  <c r="S247" i="5"/>
  <c r="F247" i="5"/>
  <c r="E247" i="5"/>
  <c r="D247" i="5"/>
  <c r="I247" i="5"/>
  <c r="C247" i="5"/>
  <c r="B247" i="5"/>
  <c r="A247" i="5"/>
  <c r="L246" i="5"/>
  <c r="Q246" i="5" s="1"/>
  <c r="Z246" i="5"/>
  <c r="Y246" i="5"/>
  <c r="X246" i="5"/>
  <c r="K245" i="5"/>
  <c r="J245" i="5"/>
  <c r="Z245" i="5"/>
  <c r="Y245" i="5"/>
  <c r="X245" i="5"/>
  <c r="H245" i="5"/>
  <c r="W245" i="5" s="1"/>
  <c r="F245" i="5"/>
  <c r="V245" i="5"/>
  <c r="T245" i="5"/>
  <c r="U245" i="5"/>
  <c r="S245" i="5"/>
  <c r="E245" i="5"/>
  <c r="D245" i="5"/>
  <c r="C245" i="5"/>
  <c r="B245" i="5"/>
  <c r="A245" i="5"/>
  <c r="K244" i="5"/>
  <c r="J244" i="5"/>
  <c r="Z244" i="5"/>
  <c r="Y244" i="5"/>
  <c r="X244" i="5"/>
  <c r="H244" i="5"/>
  <c r="W244" i="5" s="1"/>
  <c r="F244" i="5"/>
  <c r="V244" i="5"/>
  <c r="T244" i="5"/>
  <c r="U244" i="5"/>
  <c r="S244" i="5"/>
  <c r="E244" i="5"/>
  <c r="D244" i="5"/>
  <c r="C244" i="5"/>
  <c r="B244" i="5"/>
  <c r="A244" i="5"/>
  <c r="L243" i="5"/>
  <c r="G243" i="5"/>
  <c r="E243" i="5"/>
  <c r="J242" i="5"/>
  <c r="E242" i="5"/>
  <c r="J241" i="5"/>
  <c r="E241" i="5"/>
  <c r="K240" i="5"/>
  <c r="J240" i="5"/>
  <c r="H240" i="5"/>
  <c r="G240" i="5"/>
  <c r="F240" i="5"/>
  <c r="K239" i="5"/>
  <c r="J239" i="5"/>
  <c r="H239" i="5"/>
  <c r="R239" i="5" s="1"/>
  <c r="G239" i="5"/>
  <c r="F239" i="5"/>
  <c r="K238" i="5"/>
  <c r="J238" i="5"/>
  <c r="H238" i="5"/>
  <c r="G238" i="5"/>
  <c r="F238" i="5"/>
  <c r="K237" i="5"/>
  <c r="J237" i="5"/>
  <c r="H237" i="5"/>
  <c r="R237" i="5" s="1"/>
  <c r="G237" i="5"/>
  <c r="F237" i="5"/>
  <c r="C236" i="5"/>
  <c r="V235" i="5"/>
  <c r="T235" i="5"/>
  <c r="U235" i="5"/>
  <c r="S235" i="5"/>
  <c r="F235" i="5"/>
  <c r="E235" i="5"/>
  <c r="D235" i="5"/>
  <c r="I235" i="5"/>
  <c r="C235" i="5"/>
  <c r="B235" i="5"/>
  <c r="A235" i="5"/>
  <c r="L234" i="5"/>
  <c r="Q234" i="5" s="1"/>
  <c r="Z234" i="5"/>
  <c r="Y234" i="5"/>
  <c r="X234" i="5"/>
  <c r="K233" i="5"/>
  <c r="J233" i="5"/>
  <c r="Z233" i="5"/>
  <c r="Y233" i="5"/>
  <c r="X233" i="5"/>
  <c r="H233" i="5"/>
  <c r="W233" i="5" s="1"/>
  <c r="F233" i="5"/>
  <c r="V233" i="5"/>
  <c r="T233" i="5"/>
  <c r="U233" i="5"/>
  <c r="S233" i="5"/>
  <c r="E233" i="5"/>
  <c r="D233" i="5"/>
  <c r="C233" i="5"/>
  <c r="B233" i="5"/>
  <c r="A233" i="5"/>
  <c r="K232" i="5"/>
  <c r="J232" i="5"/>
  <c r="Z232" i="5"/>
  <c r="Y232" i="5"/>
  <c r="X232" i="5"/>
  <c r="H232" i="5"/>
  <c r="W232" i="5" s="1"/>
  <c r="F232" i="5"/>
  <c r="V232" i="5"/>
  <c r="T232" i="5"/>
  <c r="U232" i="5"/>
  <c r="S232" i="5"/>
  <c r="E232" i="5"/>
  <c r="D232" i="5"/>
  <c r="C232" i="5"/>
  <c r="B232" i="5"/>
  <c r="A232" i="5"/>
  <c r="L231" i="5"/>
  <c r="G231" i="5"/>
  <c r="E231" i="5"/>
  <c r="J230" i="5"/>
  <c r="E230" i="5"/>
  <c r="J229" i="5"/>
  <c r="E229" i="5"/>
  <c r="K228" i="5"/>
  <c r="J228" i="5"/>
  <c r="H228" i="5"/>
  <c r="G228" i="5"/>
  <c r="F228" i="5"/>
  <c r="K227" i="5"/>
  <c r="J227" i="5"/>
  <c r="H227" i="5"/>
  <c r="R227" i="5" s="1"/>
  <c r="G227" i="5"/>
  <c r="F227" i="5"/>
  <c r="K226" i="5"/>
  <c r="J226" i="5"/>
  <c r="H226" i="5"/>
  <c r="G226" i="5"/>
  <c r="F226" i="5"/>
  <c r="K225" i="5"/>
  <c r="J225" i="5"/>
  <c r="H225" i="5"/>
  <c r="R225" i="5" s="1"/>
  <c r="G225" i="5"/>
  <c r="F225" i="5"/>
  <c r="C224" i="5"/>
  <c r="V223" i="5"/>
  <c r="T223" i="5"/>
  <c r="U223" i="5"/>
  <c r="S223" i="5"/>
  <c r="F223" i="5"/>
  <c r="E223" i="5"/>
  <c r="D223" i="5"/>
  <c r="I223" i="5"/>
  <c r="C223" i="5"/>
  <c r="B223" i="5"/>
  <c r="A223" i="5"/>
  <c r="L222" i="5"/>
  <c r="Q222" i="5" s="1"/>
  <c r="Z222" i="5"/>
  <c r="Y222" i="5"/>
  <c r="X222" i="5"/>
  <c r="K221" i="5"/>
  <c r="J221" i="5"/>
  <c r="Z221" i="5"/>
  <c r="Y221" i="5"/>
  <c r="X221" i="5"/>
  <c r="H221" i="5"/>
  <c r="W221" i="5" s="1"/>
  <c r="F221" i="5"/>
  <c r="V221" i="5"/>
  <c r="T221" i="5"/>
  <c r="U221" i="5"/>
  <c r="S221" i="5"/>
  <c r="E221" i="5"/>
  <c r="D221" i="5"/>
  <c r="C221" i="5"/>
  <c r="B221" i="5"/>
  <c r="A221" i="5"/>
  <c r="K220" i="5"/>
  <c r="J220" i="5"/>
  <c r="Z220" i="5"/>
  <c r="Y220" i="5"/>
  <c r="X220" i="5"/>
  <c r="H220" i="5"/>
  <c r="W220" i="5" s="1"/>
  <c r="F220" i="5"/>
  <c r="V220" i="5"/>
  <c r="T220" i="5"/>
  <c r="U220" i="5"/>
  <c r="S220" i="5"/>
  <c r="E220" i="5"/>
  <c r="D220" i="5"/>
  <c r="C220" i="5"/>
  <c r="B220" i="5"/>
  <c r="A220" i="5"/>
  <c r="L219" i="5"/>
  <c r="G219" i="5"/>
  <c r="E219" i="5"/>
  <c r="J218" i="5"/>
  <c r="F218" i="5"/>
  <c r="E218" i="5"/>
  <c r="J217" i="5"/>
  <c r="F217" i="5"/>
  <c r="E217" i="5"/>
  <c r="K216" i="5"/>
  <c r="J216" i="5"/>
  <c r="H216" i="5"/>
  <c r="G216" i="5"/>
  <c r="F216" i="5"/>
  <c r="K215" i="5"/>
  <c r="J215" i="5"/>
  <c r="H215" i="5"/>
  <c r="R215" i="5" s="1"/>
  <c r="G215" i="5"/>
  <c r="F215" i="5"/>
  <c r="K214" i="5"/>
  <c r="J214" i="5"/>
  <c r="H214" i="5"/>
  <c r="G214" i="5"/>
  <c r="F214" i="5"/>
  <c r="K213" i="5"/>
  <c r="J213" i="5"/>
  <c r="H213" i="5"/>
  <c r="R213" i="5" s="1"/>
  <c r="G213" i="5"/>
  <c r="F213" i="5"/>
  <c r="C212" i="5"/>
  <c r="V211" i="5"/>
  <c r="T211" i="5"/>
  <c r="U211" i="5"/>
  <c r="S211" i="5"/>
  <c r="F211" i="5"/>
  <c r="E211" i="5"/>
  <c r="D211" i="5"/>
  <c r="I211" i="5"/>
  <c r="C211" i="5"/>
  <c r="B211" i="5"/>
  <c r="A211" i="5"/>
  <c r="L210" i="5"/>
  <c r="Q210" i="5" s="1"/>
  <c r="Z210" i="5"/>
  <c r="Y210" i="5"/>
  <c r="X210" i="5"/>
  <c r="L209" i="5"/>
  <c r="G209" i="5"/>
  <c r="E209" i="5"/>
  <c r="J208" i="5"/>
  <c r="E208" i="5"/>
  <c r="J207" i="5"/>
  <c r="E207" i="5"/>
  <c r="K206" i="5"/>
  <c r="J206" i="5"/>
  <c r="H206" i="5"/>
  <c r="G206" i="5"/>
  <c r="F206" i="5"/>
  <c r="K205" i="5"/>
  <c r="J205" i="5"/>
  <c r="H205" i="5"/>
  <c r="R205" i="5" s="1"/>
  <c r="G205" i="5"/>
  <c r="F205" i="5"/>
  <c r="C204" i="5"/>
  <c r="V203" i="5"/>
  <c r="K208" i="5" s="1"/>
  <c r="T203" i="5"/>
  <c r="K207" i="5" s="1"/>
  <c r="U203" i="5"/>
  <c r="H208" i="5" s="1"/>
  <c r="S203" i="5"/>
  <c r="H207" i="5" s="1"/>
  <c r="F203" i="5"/>
  <c r="E203" i="5"/>
  <c r="D203" i="5"/>
  <c r="I203" i="5"/>
  <c r="C203" i="5"/>
  <c r="B203" i="5"/>
  <c r="A203" i="5"/>
  <c r="L202" i="5"/>
  <c r="Q202" i="5" s="1"/>
  <c r="Z202" i="5"/>
  <c r="Y202" i="5"/>
  <c r="X202" i="5"/>
  <c r="L201" i="5"/>
  <c r="G201" i="5"/>
  <c r="E201" i="5"/>
  <c r="J200" i="5"/>
  <c r="E200" i="5"/>
  <c r="J199" i="5"/>
  <c r="E199" i="5"/>
  <c r="K198" i="5"/>
  <c r="J198" i="5"/>
  <c r="H198" i="5"/>
  <c r="G198" i="5"/>
  <c r="F198" i="5"/>
  <c r="K197" i="5"/>
  <c r="J197" i="5"/>
  <c r="H197" i="5"/>
  <c r="R197" i="5" s="1"/>
  <c r="G197" i="5"/>
  <c r="F197" i="5"/>
  <c r="K196" i="5"/>
  <c r="J196" i="5"/>
  <c r="H196" i="5"/>
  <c r="G196" i="5"/>
  <c r="F196" i="5"/>
  <c r="K195" i="5"/>
  <c r="J195" i="5"/>
  <c r="H195" i="5"/>
  <c r="R195" i="5" s="1"/>
  <c r="G195" i="5"/>
  <c r="F195" i="5"/>
  <c r="C194" i="5"/>
  <c r="V193" i="5"/>
  <c r="K200" i="5" s="1"/>
  <c r="T193" i="5"/>
  <c r="K199" i="5" s="1"/>
  <c r="U193" i="5"/>
  <c r="H200" i="5" s="1"/>
  <c r="S193" i="5"/>
  <c r="H199" i="5" s="1"/>
  <c r="F193" i="5"/>
  <c r="E193" i="5"/>
  <c r="D193" i="5"/>
  <c r="I193" i="5"/>
  <c r="C193" i="5"/>
  <c r="B193" i="5"/>
  <c r="A193" i="5"/>
  <c r="L192" i="5"/>
  <c r="Q192" i="5" s="1"/>
  <c r="Z192" i="5"/>
  <c r="Y192" i="5"/>
  <c r="X192" i="5"/>
  <c r="K191" i="5"/>
  <c r="J191" i="5"/>
  <c r="Z191" i="5"/>
  <c r="Y191" i="5"/>
  <c r="X191" i="5"/>
  <c r="H191" i="5"/>
  <c r="W191" i="5" s="1"/>
  <c r="F191" i="5"/>
  <c r="V191" i="5"/>
  <c r="T191" i="5"/>
  <c r="U191" i="5"/>
  <c r="S191" i="5"/>
  <c r="E191" i="5"/>
  <c r="D191" i="5"/>
  <c r="C191" i="5"/>
  <c r="B191" i="5"/>
  <c r="A191" i="5"/>
  <c r="K190" i="5"/>
  <c r="J190" i="5"/>
  <c r="Z190" i="5"/>
  <c r="Y190" i="5"/>
  <c r="X190" i="5"/>
  <c r="H190" i="5"/>
  <c r="W190" i="5" s="1"/>
  <c r="F190" i="5"/>
  <c r="V190" i="5"/>
  <c r="T190" i="5"/>
  <c r="U190" i="5"/>
  <c r="S190" i="5"/>
  <c r="E190" i="5"/>
  <c r="D190" i="5"/>
  <c r="C190" i="5"/>
  <c r="B190" i="5"/>
  <c r="A190" i="5"/>
  <c r="L189" i="5"/>
  <c r="G189" i="5"/>
  <c r="E189" i="5"/>
  <c r="J188" i="5"/>
  <c r="F188" i="5"/>
  <c r="E188" i="5"/>
  <c r="J187" i="5"/>
  <c r="F187" i="5"/>
  <c r="E187" i="5"/>
  <c r="K186" i="5"/>
  <c r="J186" i="5"/>
  <c r="H186" i="5"/>
  <c r="G186" i="5"/>
  <c r="F186" i="5"/>
  <c r="K185" i="5"/>
  <c r="J185" i="5"/>
  <c r="H185" i="5"/>
  <c r="R185" i="5" s="1"/>
  <c r="G185" i="5"/>
  <c r="F185" i="5"/>
  <c r="K184" i="5"/>
  <c r="J184" i="5"/>
  <c r="H184" i="5"/>
  <c r="G184" i="5"/>
  <c r="F184" i="5"/>
  <c r="K183" i="5"/>
  <c r="J183" i="5"/>
  <c r="H183" i="5"/>
  <c r="R183" i="5" s="1"/>
  <c r="G183" i="5"/>
  <c r="F183" i="5"/>
  <c r="C182" i="5"/>
  <c r="V181" i="5"/>
  <c r="T181" i="5"/>
  <c r="U181" i="5"/>
  <c r="S181" i="5"/>
  <c r="F181" i="5"/>
  <c r="E181" i="5"/>
  <c r="D181" i="5"/>
  <c r="I181" i="5"/>
  <c r="C181" i="5"/>
  <c r="B181" i="5"/>
  <c r="A181" i="5"/>
  <c r="L180" i="5"/>
  <c r="Q180" i="5" s="1"/>
  <c r="Z180" i="5"/>
  <c r="Y180" i="5"/>
  <c r="X180" i="5"/>
  <c r="K179" i="5"/>
  <c r="J179" i="5"/>
  <c r="Z179" i="5"/>
  <c r="Y179" i="5"/>
  <c r="X179" i="5"/>
  <c r="H179" i="5"/>
  <c r="W179" i="5" s="1"/>
  <c r="F179" i="5"/>
  <c r="V179" i="5"/>
  <c r="T179" i="5"/>
  <c r="U179" i="5"/>
  <c r="S179" i="5"/>
  <c r="E179" i="5"/>
  <c r="D179" i="5"/>
  <c r="C179" i="5"/>
  <c r="B179" i="5"/>
  <c r="A179" i="5"/>
  <c r="K178" i="5"/>
  <c r="J178" i="5"/>
  <c r="Z178" i="5"/>
  <c r="Y178" i="5"/>
  <c r="X178" i="5"/>
  <c r="H178" i="5"/>
  <c r="W178" i="5" s="1"/>
  <c r="F178" i="5"/>
  <c r="V178" i="5"/>
  <c r="T178" i="5"/>
  <c r="U178" i="5"/>
  <c r="S178" i="5"/>
  <c r="E178" i="5"/>
  <c r="D178" i="5"/>
  <c r="C178" i="5"/>
  <c r="B178" i="5"/>
  <c r="A178" i="5"/>
  <c r="K177" i="5"/>
  <c r="J177" i="5"/>
  <c r="Z177" i="5"/>
  <c r="Y177" i="5"/>
  <c r="X177" i="5"/>
  <c r="H177" i="5"/>
  <c r="W177" i="5" s="1"/>
  <c r="F177" i="5"/>
  <c r="V177" i="5"/>
  <c r="T177" i="5"/>
  <c r="U177" i="5"/>
  <c r="S177" i="5"/>
  <c r="E177" i="5"/>
  <c r="D177" i="5"/>
  <c r="C177" i="5"/>
  <c r="B177" i="5"/>
  <c r="A177" i="5"/>
  <c r="L176" i="5"/>
  <c r="G176" i="5"/>
  <c r="E176" i="5"/>
  <c r="J175" i="5"/>
  <c r="F175" i="5"/>
  <c r="E175" i="5"/>
  <c r="J174" i="5"/>
  <c r="F174" i="5"/>
  <c r="E174" i="5"/>
  <c r="K173" i="5"/>
  <c r="J173" i="5"/>
  <c r="H173" i="5"/>
  <c r="G173" i="5"/>
  <c r="F173" i="5"/>
  <c r="K172" i="5"/>
  <c r="J172" i="5"/>
  <c r="H172" i="5"/>
  <c r="R172" i="5" s="1"/>
  <c r="G172" i="5"/>
  <c r="F172" i="5"/>
  <c r="K171" i="5"/>
  <c r="J171" i="5"/>
  <c r="H171" i="5"/>
  <c r="G171" i="5"/>
  <c r="F171" i="5"/>
  <c r="K170" i="5"/>
  <c r="J170" i="5"/>
  <c r="H170" i="5"/>
  <c r="R170" i="5" s="1"/>
  <c r="G170" i="5"/>
  <c r="F170" i="5"/>
  <c r="C169" i="5"/>
  <c r="V168" i="5"/>
  <c r="T168" i="5"/>
  <c r="U168" i="5"/>
  <c r="S168" i="5"/>
  <c r="F168" i="5"/>
  <c r="E168" i="5"/>
  <c r="D168" i="5"/>
  <c r="I168" i="5"/>
  <c r="C168" i="5"/>
  <c r="B168" i="5"/>
  <c r="A168" i="5"/>
  <c r="A167" i="5"/>
  <c r="A163" i="5"/>
  <c r="L161" i="5"/>
  <c r="Q161" i="5" s="1"/>
  <c r="Z161" i="5"/>
  <c r="Y161" i="5"/>
  <c r="X161" i="5"/>
  <c r="L160" i="5"/>
  <c r="G160" i="5"/>
  <c r="E160" i="5"/>
  <c r="J159" i="5"/>
  <c r="E159" i="5"/>
  <c r="J158" i="5"/>
  <c r="E158" i="5"/>
  <c r="K157" i="5"/>
  <c r="J157" i="5"/>
  <c r="H157" i="5"/>
  <c r="R157" i="5" s="1"/>
  <c r="G157" i="5"/>
  <c r="F157" i="5"/>
  <c r="K156" i="5"/>
  <c r="J156" i="5"/>
  <c r="H156" i="5"/>
  <c r="G156" i="5"/>
  <c r="F156" i="5"/>
  <c r="K155" i="5"/>
  <c r="J155" i="5"/>
  <c r="H155" i="5"/>
  <c r="G155" i="5"/>
  <c r="F155" i="5"/>
  <c r="C154" i="5"/>
  <c r="V153" i="5"/>
  <c r="K159" i="5" s="1"/>
  <c r="T153" i="5"/>
  <c r="K158" i="5" s="1"/>
  <c r="U153" i="5"/>
  <c r="H159" i="5" s="1"/>
  <c r="S153" i="5"/>
  <c r="H158" i="5" s="1"/>
  <c r="F153" i="5"/>
  <c r="E153" i="5"/>
  <c r="D153" i="5"/>
  <c r="I153" i="5"/>
  <c r="C153" i="5"/>
  <c r="B153" i="5"/>
  <c r="A153" i="5"/>
  <c r="L152" i="5"/>
  <c r="Q152" i="5" s="1"/>
  <c r="Z152" i="5"/>
  <c r="Y152" i="5"/>
  <c r="X152" i="5"/>
  <c r="L151" i="5"/>
  <c r="G151" i="5"/>
  <c r="E151" i="5"/>
  <c r="J150" i="5"/>
  <c r="E150" i="5"/>
  <c r="J149" i="5"/>
  <c r="E149" i="5"/>
  <c r="K148" i="5"/>
  <c r="J148" i="5"/>
  <c r="H148" i="5"/>
  <c r="R148" i="5" s="1"/>
  <c r="G148" i="5"/>
  <c r="F148" i="5"/>
  <c r="K147" i="5"/>
  <c r="J147" i="5"/>
  <c r="H147" i="5"/>
  <c r="G147" i="5"/>
  <c r="F147" i="5"/>
  <c r="K146" i="5"/>
  <c r="J146" i="5"/>
  <c r="H146" i="5"/>
  <c r="R146" i="5" s="1"/>
  <c r="G146" i="5"/>
  <c r="F146" i="5"/>
  <c r="C145" i="5"/>
  <c r="V144" i="5"/>
  <c r="K150" i="5" s="1"/>
  <c r="T144" i="5"/>
  <c r="K149" i="5" s="1"/>
  <c r="U144" i="5"/>
  <c r="H150" i="5" s="1"/>
  <c r="S144" i="5"/>
  <c r="H149" i="5" s="1"/>
  <c r="F144" i="5"/>
  <c r="E144" i="5"/>
  <c r="D144" i="5"/>
  <c r="I144" i="5"/>
  <c r="C144" i="5"/>
  <c r="B144" i="5"/>
  <c r="A144" i="5"/>
  <c r="L143" i="5"/>
  <c r="Q143" i="5" s="1"/>
  <c r="Z143" i="5"/>
  <c r="Y143" i="5"/>
  <c r="X143" i="5"/>
  <c r="L142" i="5"/>
  <c r="G142" i="5"/>
  <c r="E142" i="5"/>
  <c r="J141" i="5"/>
  <c r="E141" i="5"/>
  <c r="J140" i="5"/>
  <c r="E140" i="5"/>
  <c r="K139" i="5"/>
  <c r="J139" i="5"/>
  <c r="H139" i="5"/>
  <c r="R139" i="5" s="1"/>
  <c r="G139" i="5"/>
  <c r="F139" i="5"/>
  <c r="K138" i="5"/>
  <c r="J138" i="5"/>
  <c r="H138" i="5"/>
  <c r="G138" i="5"/>
  <c r="F138" i="5"/>
  <c r="K137" i="5"/>
  <c r="J137" i="5"/>
  <c r="H137" i="5"/>
  <c r="G137" i="5"/>
  <c r="F137" i="5"/>
  <c r="C136" i="5"/>
  <c r="V135" i="5"/>
  <c r="K141" i="5" s="1"/>
  <c r="T135" i="5"/>
  <c r="K140" i="5" s="1"/>
  <c r="U135" i="5"/>
  <c r="H141" i="5" s="1"/>
  <c r="S135" i="5"/>
  <c r="H140" i="5" s="1"/>
  <c r="F135" i="5"/>
  <c r="E135" i="5"/>
  <c r="D135" i="5"/>
  <c r="I135" i="5"/>
  <c r="C135" i="5"/>
  <c r="B135" i="5"/>
  <c r="A135" i="5"/>
  <c r="L134" i="5"/>
  <c r="Q134" i="5" s="1"/>
  <c r="Z134" i="5"/>
  <c r="Y134" i="5"/>
  <c r="X134" i="5"/>
  <c r="K133" i="5"/>
  <c r="J133" i="5"/>
  <c r="Z133" i="5"/>
  <c r="Y133" i="5"/>
  <c r="X133" i="5"/>
  <c r="H133" i="5"/>
  <c r="W133" i="5" s="1"/>
  <c r="F133" i="5"/>
  <c r="V133" i="5"/>
  <c r="T133" i="5"/>
  <c r="U133" i="5"/>
  <c r="S133" i="5"/>
  <c r="E133" i="5"/>
  <c r="D133" i="5"/>
  <c r="C133" i="5"/>
  <c r="B133" i="5"/>
  <c r="A133" i="5"/>
  <c r="L132" i="5"/>
  <c r="G132" i="5"/>
  <c r="E132" i="5"/>
  <c r="J131" i="5"/>
  <c r="E131" i="5"/>
  <c r="J130" i="5"/>
  <c r="E130" i="5"/>
  <c r="K129" i="5"/>
  <c r="J129" i="5"/>
  <c r="H129" i="5"/>
  <c r="R129" i="5" s="1"/>
  <c r="G129" i="5"/>
  <c r="F129" i="5"/>
  <c r="K128" i="5"/>
  <c r="J128" i="5"/>
  <c r="H128" i="5"/>
  <c r="G128" i="5"/>
  <c r="F128" i="5"/>
  <c r="K127" i="5"/>
  <c r="J127" i="5"/>
  <c r="H127" i="5"/>
  <c r="R127" i="5" s="1"/>
  <c r="G127" i="5"/>
  <c r="F127" i="5"/>
  <c r="C126" i="5"/>
  <c r="V125" i="5"/>
  <c r="T125" i="5"/>
  <c r="K130" i="5" s="1"/>
  <c r="U125" i="5"/>
  <c r="H131" i="5" s="1"/>
  <c r="S125" i="5"/>
  <c r="F125" i="5"/>
  <c r="E125" i="5"/>
  <c r="D125" i="5"/>
  <c r="I125" i="5"/>
  <c r="C125" i="5"/>
  <c r="B125" i="5"/>
  <c r="A125" i="5"/>
  <c r="L124" i="5"/>
  <c r="Q124" i="5" s="1"/>
  <c r="Z124" i="5"/>
  <c r="Y124" i="5"/>
  <c r="X124" i="5"/>
  <c r="L123" i="5"/>
  <c r="G123" i="5"/>
  <c r="E123" i="5"/>
  <c r="J122" i="5"/>
  <c r="E122" i="5"/>
  <c r="J121" i="5"/>
  <c r="E121" i="5"/>
  <c r="K120" i="5"/>
  <c r="J120" i="5"/>
  <c r="H120" i="5"/>
  <c r="R120" i="5" s="1"/>
  <c r="G120" i="5"/>
  <c r="F120" i="5"/>
  <c r="K119" i="5"/>
  <c r="J119" i="5"/>
  <c r="H119" i="5"/>
  <c r="G119" i="5"/>
  <c r="F119" i="5"/>
  <c r="K118" i="5"/>
  <c r="J118" i="5"/>
  <c r="H118" i="5"/>
  <c r="G118" i="5"/>
  <c r="F118" i="5"/>
  <c r="C117" i="5"/>
  <c r="V116" i="5"/>
  <c r="K122" i="5" s="1"/>
  <c r="T116" i="5"/>
  <c r="K121" i="5" s="1"/>
  <c r="U116" i="5"/>
  <c r="H122" i="5" s="1"/>
  <c r="S116" i="5"/>
  <c r="H121" i="5" s="1"/>
  <c r="F116" i="5"/>
  <c r="E116" i="5"/>
  <c r="D116" i="5"/>
  <c r="I116" i="5"/>
  <c r="C116" i="5"/>
  <c r="B116" i="5"/>
  <c r="A116" i="5"/>
  <c r="L115" i="5"/>
  <c r="Q115" i="5" s="1"/>
  <c r="Z115" i="5"/>
  <c r="Y115" i="5"/>
  <c r="X115" i="5"/>
  <c r="L114" i="5"/>
  <c r="G114" i="5"/>
  <c r="E114" i="5"/>
  <c r="J113" i="5"/>
  <c r="E113" i="5"/>
  <c r="J112" i="5"/>
  <c r="E112" i="5"/>
  <c r="K111" i="5"/>
  <c r="J111" i="5"/>
  <c r="H111" i="5"/>
  <c r="G111" i="5"/>
  <c r="F111" i="5"/>
  <c r="C110" i="5"/>
  <c r="V109" i="5"/>
  <c r="K113" i="5" s="1"/>
  <c r="T109" i="5"/>
  <c r="K112" i="5" s="1"/>
  <c r="U109" i="5"/>
  <c r="H113" i="5" s="1"/>
  <c r="S109" i="5"/>
  <c r="H112" i="5" s="1"/>
  <c r="F109" i="5"/>
  <c r="E109" i="5"/>
  <c r="D109" i="5"/>
  <c r="I109" i="5"/>
  <c r="C109" i="5"/>
  <c r="B109" i="5"/>
  <c r="A109" i="5"/>
  <c r="L108" i="5"/>
  <c r="Q108" i="5" s="1"/>
  <c r="Z108" i="5"/>
  <c r="Y108" i="5"/>
  <c r="X108" i="5"/>
  <c r="L107" i="5"/>
  <c r="G107" i="5"/>
  <c r="E107" i="5"/>
  <c r="J106" i="5"/>
  <c r="F106" i="5"/>
  <c r="E106" i="5"/>
  <c r="J105" i="5"/>
  <c r="F105" i="5"/>
  <c r="E105" i="5"/>
  <c r="K104" i="5"/>
  <c r="J104" i="5"/>
  <c r="H104" i="5"/>
  <c r="R104" i="5" s="1"/>
  <c r="G104" i="5"/>
  <c r="F104" i="5"/>
  <c r="K103" i="5"/>
  <c r="J103" i="5"/>
  <c r="H103" i="5"/>
  <c r="G103" i="5"/>
  <c r="F103" i="5"/>
  <c r="K102" i="5"/>
  <c r="J102" i="5"/>
  <c r="H102" i="5"/>
  <c r="G102" i="5"/>
  <c r="F102" i="5"/>
  <c r="C101" i="5"/>
  <c r="V100" i="5"/>
  <c r="K106" i="5" s="1"/>
  <c r="T100" i="5"/>
  <c r="K105" i="5" s="1"/>
  <c r="U100" i="5"/>
  <c r="H106" i="5" s="1"/>
  <c r="S100" i="5"/>
  <c r="H105" i="5" s="1"/>
  <c r="F100" i="5"/>
  <c r="E100" i="5"/>
  <c r="D100" i="5"/>
  <c r="I100" i="5"/>
  <c r="C100" i="5"/>
  <c r="B100" i="5"/>
  <c r="A100" i="5"/>
  <c r="L99" i="5"/>
  <c r="Q99" i="5" s="1"/>
  <c r="Z99" i="5"/>
  <c r="Y99" i="5"/>
  <c r="X99" i="5"/>
  <c r="L98" i="5"/>
  <c r="G98" i="5"/>
  <c r="E98" i="5"/>
  <c r="J97" i="5"/>
  <c r="E97" i="5"/>
  <c r="J96" i="5"/>
  <c r="E96" i="5"/>
  <c r="K95" i="5"/>
  <c r="J95" i="5"/>
  <c r="H95" i="5"/>
  <c r="R95" i="5" s="1"/>
  <c r="G95" i="5"/>
  <c r="F95" i="5"/>
  <c r="K94" i="5"/>
  <c r="J94" i="5"/>
  <c r="H94" i="5"/>
  <c r="G94" i="5"/>
  <c r="F94" i="5"/>
  <c r="K93" i="5"/>
  <c r="J93" i="5"/>
  <c r="H93" i="5"/>
  <c r="R93" i="5" s="1"/>
  <c r="G93" i="5"/>
  <c r="F93" i="5"/>
  <c r="C92" i="5"/>
  <c r="V91" i="5"/>
  <c r="K97" i="5" s="1"/>
  <c r="T91" i="5"/>
  <c r="K96" i="5" s="1"/>
  <c r="U91" i="5"/>
  <c r="H97" i="5" s="1"/>
  <c r="S91" i="5"/>
  <c r="H96" i="5" s="1"/>
  <c r="F91" i="5"/>
  <c r="E91" i="5"/>
  <c r="D91" i="5"/>
  <c r="I91" i="5"/>
  <c r="C91" i="5"/>
  <c r="B91" i="5"/>
  <c r="A91" i="5"/>
  <c r="L90" i="5"/>
  <c r="Q90" i="5" s="1"/>
  <c r="Z90" i="5"/>
  <c r="Y90" i="5"/>
  <c r="W90" i="5"/>
  <c r="L89" i="5"/>
  <c r="G89" i="5"/>
  <c r="E89" i="5"/>
  <c r="J88" i="5"/>
  <c r="E88" i="5"/>
  <c r="J87" i="5"/>
  <c r="E87" i="5"/>
  <c r="K86" i="5"/>
  <c r="J86" i="5"/>
  <c r="H86" i="5"/>
  <c r="R86" i="5" s="1"/>
  <c r="G86" i="5"/>
  <c r="F86" i="5"/>
  <c r="V85" i="5"/>
  <c r="K88" i="5" s="1"/>
  <c r="T85" i="5"/>
  <c r="K87" i="5" s="1"/>
  <c r="U85" i="5"/>
  <c r="H88" i="5" s="1"/>
  <c r="S85" i="5"/>
  <c r="H87" i="5" s="1"/>
  <c r="F85" i="5"/>
  <c r="E85" i="5"/>
  <c r="D85" i="5"/>
  <c r="I85" i="5"/>
  <c r="C85" i="5"/>
  <c r="B85" i="5"/>
  <c r="A85" i="5"/>
  <c r="L84" i="5"/>
  <c r="Q84" i="5" s="1"/>
  <c r="Z84" i="5"/>
  <c r="Y84" i="5"/>
  <c r="W84" i="5"/>
  <c r="L83" i="5"/>
  <c r="G83" i="5"/>
  <c r="E83" i="5"/>
  <c r="J82" i="5"/>
  <c r="E82" i="5"/>
  <c r="J81" i="5"/>
  <c r="E81" i="5"/>
  <c r="K80" i="5"/>
  <c r="J80" i="5"/>
  <c r="H80" i="5"/>
  <c r="R80" i="5" s="1"/>
  <c r="G80" i="5"/>
  <c r="F80" i="5"/>
  <c r="V79" i="5"/>
  <c r="K82" i="5" s="1"/>
  <c r="T79" i="5"/>
  <c r="K81" i="5" s="1"/>
  <c r="U79" i="5"/>
  <c r="H82" i="5" s="1"/>
  <c r="S79" i="5"/>
  <c r="H81" i="5" s="1"/>
  <c r="F79" i="5"/>
  <c r="E79" i="5"/>
  <c r="D79" i="5"/>
  <c r="I79" i="5"/>
  <c r="C79" i="5"/>
  <c r="B79" i="5"/>
  <c r="A79" i="5"/>
  <c r="L78" i="5"/>
  <c r="Q78" i="5" s="1"/>
  <c r="Z78" i="5"/>
  <c r="Y78" i="5"/>
  <c r="W78" i="5"/>
  <c r="L77" i="5"/>
  <c r="G77" i="5"/>
  <c r="E77" i="5"/>
  <c r="J76" i="5"/>
  <c r="E76" i="5"/>
  <c r="J75" i="5"/>
  <c r="E75" i="5"/>
  <c r="K74" i="5"/>
  <c r="J74" i="5"/>
  <c r="H74" i="5"/>
  <c r="R74" i="5" s="1"/>
  <c r="G74" i="5"/>
  <c r="F74" i="5"/>
  <c r="K73" i="5"/>
  <c r="J73" i="5"/>
  <c r="H73" i="5"/>
  <c r="G73" i="5"/>
  <c r="F73" i="5"/>
  <c r="K72" i="5"/>
  <c r="J72" i="5"/>
  <c r="H72" i="5"/>
  <c r="G72" i="5"/>
  <c r="F72" i="5"/>
  <c r="C71" i="5"/>
  <c r="V70" i="5"/>
  <c r="K76" i="5" s="1"/>
  <c r="T70" i="5"/>
  <c r="K75" i="5" s="1"/>
  <c r="U70" i="5"/>
  <c r="H76" i="5" s="1"/>
  <c r="S70" i="5"/>
  <c r="H75" i="5" s="1"/>
  <c r="F70" i="5"/>
  <c r="E70" i="5"/>
  <c r="D70" i="5"/>
  <c r="I70" i="5"/>
  <c r="C70" i="5"/>
  <c r="B70" i="5"/>
  <c r="A70" i="5"/>
  <c r="L69" i="5"/>
  <c r="Q69" i="5" s="1"/>
  <c r="Z69" i="5"/>
  <c r="Y69" i="5"/>
  <c r="W69" i="5"/>
  <c r="L68" i="5"/>
  <c r="G68" i="5"/>
  <c r="E68" i="5"/>
  <c r="J67" i="5"/>
  <c r="E67" i="5"/>
  <c r="J66" i="5"/>
  <c r="E66" i="5"/>
  <c r="K65" i="5"/>
  <c r="J65" i="5"/>
  <c r="H65" i="5"/>
  <c r="R65" i="5" s="1"/>
  <c r="G65" i="5"/>
  <c r="F65" i="5"/>
  <c r="K64" i="5"/>
  <c r="J64" i="5"/>
  <c r="H64" i="5"/>
  <c r="G64" i="5"/>
  <c r="F64" i="5"/>
  <c r="K63" i="5"/>
  <c r="J63" i="5"/>
  <c r="H63" i="5"/>
  <c r="G63" i="5"/>
  <c r="F63" i="5"/>
  <c r="V62" i="5"/>
  <c r="K67" i="5" s="1"/>
  <c r="T62" i="5"/>
  <c r="K66" i="5" s="1"/>
  <c r="U62" i="5"/>
  <c r="H67" i="5" s="1"/>
  <c r="S62" i="5"/>
  <c r="H66" i="5" s="1"/>
  <c r="F62" i="5"/>
  <c r="E62" i="5"/>
  <c r="D62" i="5"/>
  <c r="I62" i="5"/>
  <c r="C62" i="5"/>
  <c r="B62" i="5"/>
  <c r="A62" i="5"/>
  <c r="L61" i="5"/>
  <c r="Q61" i="5" s="1"/>
  <c r="Z61" i="5"/>
  <c r="Y61" i="5"/>
  <c r="X61" i="5"/>
  <c r="L60" i="5"/>
  <c r="G60" i="5"/>
  <c r="E60" i="5"/>
  <c r="J59" i="5"/>
  <c r="E59" i="5"/>
  <c r="J58" i="5"/>
  <c r="E58" i="5"/>
  <c r="K57" i="5"/>
  <c r="J57" i="5"/>
  <c r="H57" i="5"/>
  <c r="R57" i="5" s="1"/>
  <c r="G57" i="5"/>
  <c r="F57" i="5"/>
  <c r="K56" i="5"/>
  <c r="J56" i="5"/>
  <c r="H56" i="5"/>
  <c r="G56" i="5"/>
  <c r="F56" i="5"/>
  <c r="K55" i="5"/>
  <c r="J55" i="5"/>
  <c r="H55" i="5"/>
  <c r="R55" i="5" s="1"/>
  <c r="G55" i="5"/>
  <c r="F55" i="5"/>
  <c r="C54" i="5"/>
  <c r="V53" i="5"/>
  <c r="K59" i="5" s="1"/>
  <c r="T53" i="5"/>
  <c r="K58" i="5" s="1"/>
  <c r="U53" i="5"/>
  <c r="H59" i="5" s="1"/>
  <c r="S53" i="5"/>
  <c r="H58" i="5" s="1"/>
  <c r="F53" i="5"/>
  <c r="E53" i="5"/>
  <c r="D53" i="5"/>
  <c r="I53" i="5"/>
  <c r="C53" i="5"/>
  <c r="B53" i="5"/>
  <c r="A53" i="5"/>
  <c r="L52" i="5"/>
  <c r="Q52" i="5" s="1"/>
  <c r="Z52" i="5"/>
  <c r="Y52" i="5"/>
  <c r="X52" i="5"/>
  <c r="L51" i="5"/>
  <c r="G51" i="5"/>
  <c r="E51" i="5"/>
  <c r="J50" i="5"/>
  <c r="E50" i="5"/>
  <c r="J49" i="5"/>
  <c r="E49" i="5"/>
  <c r="K48" i="5"/>
  <c r="J48" i="5"/>
  <c r="H48" i="5"/>
  <c r="G48" i="5"/>
  <c r="F48" i="5"/>
  <c r="C47" i="5"/>
  <c r="V46" i="5"/>
  <c r="K50" i="5" s="1"/>
  <c r="T46" i="5"/>
  <c r="K49" i="5" s="1"/>
  <c r="U46" i="5"/>
  <c r="H50" i="5" s="1"/>
  <c r="S46" i="5"/>
  <c r="H49" i="5" s="1"/>
  <c r="F46" i="5"/>
  <c r="E46" i="5"/>
  <c r="D46" i="5"/>
  <c r="I46" i="5"/>
  <c r="C46" i="5"/>
  <c r="B46" i="5"/>
  <c r="A46" i="5"/>
  <c r="L45" i="5"/>
  <c r="Q45" i="5" s="1"/>
  <c r="Z45" i="5"/>
  <c r="Y45" i="5"/>
  <c r="X45" i="5"/>
  <c r="L44" i="5"/>
  <c r="G44" i="5"/>
  <c r="E44" i="5"/>
  <c r="J43" i="5"/>
  <c r="E43" i="5"/>
  <c r="J42" i="5"/>
  <c r="E42" i="5"/>
  <c r="K41" i="5"/>
  <c r="J41" i="5"/>
  <c r="H41" i="5"/>
  <c r="R41" i="5" s="1"/>
  <c r="G41" i="5"/>
  <c r="F41" i="5"/>
  <c r="K40" i="5"/>
  <c r="J40" i="5"/>
  <c r="H40" i="5"/>
  <c r="G40" i="5"/>
  <c r="F40" i="5"/>
  <c r="K39" i="5"/>
  <c r="J39" i="5"/>
  <c r="H39" i="5"/>
  <c r="G39" i="5"/>
  <c r="F39" i="5"/>
  <c r="C38" i="5"/>
  <c r="V37" i="5"/>
  <c r="K43" i="5" s="1"/>
  <c r="T37" i="5"/>
  <c r="K42" i="5" s="1"/>
  <c r="U37" i="5"/>
  <c r="H43" i="5" s="1"/>
  <c r="S37" i="5"/>
  <c r="H42" i="5" s="1"/>
  <c r="F37" i="5"/>
  <c r="E37" i="5"/>
  <c r="D37" i="5"/>
  <c r="I37" i="5"/>
  <c r="C37" i="5"/>
  <c r="B37" i="5"/>
  <c r="A37" i="5"/>
  <c r="L36" i="5"/>
  <c r="Q36" i="5" s="1"/>
  <c r="Z36" i="5"/>
  <c r="Y36" i="5"/>
  <c r="X36" i="5"/>
  <c r="L35" i="5"/>
  <c r="G35" i="5"/>
  <c r="E35" i="5"/>
  <c r="J34" i="5"/>
  <c r="F34" i="5"/>
  <c r="E34" i="5"/>
  <c r="J33" i="5"/>
  <c r="F33" i="5"/>
  <c r="E33" i="5"/>
  <c r="K32" i="5"/>
  <c r="J32" i="5"/>
  <c r="H32" i="5"/>
  <c r="R32" i="5" s="1"/>
  <c r="G32" i="5"/>
  <c r="F32" i="5"/>
  <c r="K31" i="5"/>
  <c r="J31" i="5"/>
  <c r="H31" i="5"/>
  <c r="G31" i="5"/>
  <c r="F31" i="5"/>
  <c r="K30" i="5"/>
  <c r="J30" i="5"/>
  <c r="H30" i="5"/>
  <c r="G30" i="5"/>
  <c r="F30" i="5"/>
  <c r="C29" i="5"/>
  <c r="V28" i="5"/>
  <c r="K34" i="5" s="1"/>
  <c r="T28" i="5"/>
  <c r="K33" i="5" s="1"/>
  <c r="U28" i="5"/>
  <c r="H34" i="5" s="1"/>
  <c r="S28" i="5"/>
  <c r="H33" i="5" s="1"/>
  <c r="F28" i="5"/>
  <c r="E28" i="5"/>
  <c r="D28" i="5"/>
  <c r="I28" i="5"/>
  <c r="C28" i="5"/>
  <c r="B28" i="5"/>
  <c r="A28" i="5"/>
  <c r="A27" i="5"/>
  <c r="B9" i="5"/>
  <c r="B7" i="5"/>
  <c r="A1" i="5"/>
  <c r="K411" i="5" l="1"/>
  <c r="K433" i="5"/>
  <c r="J437" i="5" s="1"/>
  <c r="P437" i="5" s="1"/>
  <c r="H241" i="5"/>
  <c r="K618" i="5"/>
  <c r="J210" i="5"/>
  <c r="P210" i="5" s="1"/>
  <c r="K610" i="5"/>
  <c r="J613" i="5" s="1"/>
  <c r="P613" i="5" s="1"/>
  <c r="G18" i="5"/>
  <c r="K187" i="5"/>
  <c r="K229" i="5"/>
  <c r="H253" i="5"/>
  <c r="G258" i="5" s="1"/>
  <c r="O258" i="5" s="1"/>
  <c r="H274" i="5"/>
  <c r="K315" i="5"/>
  <c r="H338" i="5"/>
  <c r="K422" i="5"/>
  <c r="K254" i="5"/>
  <c r="H445" i="5"/>
  <c r="K455" i="5"/>
  <c r="K467" i="5"/>
  <c r="H508" i="5"/>
  <c r="H423" i="5"/>
  <c r="H434" i="5"/>
  <c r="K444" i="5"/>
  <c r="K174" i="5"/>
  <c r="K188" i="5"/>
  <c r="H370" i="5"/>
  <c r="K575" i="5"/>
  <c r="J580" i="5" s="1"/>
  <c r="P580" i="5" s="1"/>
  <c r="K597" i="5"/>
  <c r="K175" i="5"/>
  <c r="K337" i="5"/>
  <c r="H218" i="5"/>
  <c r="K316" i="5"/>
  <c r="H478" i="5"/>
  <c r="H586" i="5"/>
  <c r="H610" i="5"/>
  <c r="J161" i="5"/>
  <c r="P161" i="5" s="1"/>
  <c r="J192" i="5"/>
  <c r="P192" i="5" s="1"/>
  <c r="K241" i="5"/>
  <c r="H315" i="5"/>
  <c r="W330" i="5" s="1"/>
  <c r="K370" i="5"/>
  <c r="H422" i="5"/>
  <c r="G426" i="5" s="1"/>
  <c r="O426" i="5" s="1"/>
  <c r="H433" i="5"/>
  <c r="H411" i="5"/>
  <c r="G415" i="5" s="1"/>
  <c r="O415" i="5" s="1"/>
  <c r="J500" i="5"/>
  <c r="P500" i="5" s="1"/>
  <c r="H598" i="5"/>
  <c r="H618" i="5"/>
  <c r="H229" i="5"/>
  <c r="G234" i="5" s="1"/>
  <c r="O234" i="5" s="1"/>
  <c r="H316" i="5"/>
  <c r="H351" i="5"/>
  <c r="G362" i="5" s="1"/>
  <c r="O362" i="5" s="1"/>
  <c r="H369" i="5"/>
  <c r="H412" i="5"/>
  <c r="K423" i="5"/>
  <c r="K434" i="5"/>
  <c r="K445" i="5"/>
  <c r="K456" i="5"/>
  <c r="J459" i="5" s="1"/>
  <c r="P459" i="5" s="1"/>
  <c r="H466" i="5"/>
  <c r="H477" i="5"/>
  <c r="X482" i="5" s="1"/>
  <c r="K490" i="5"/>
  <c r="K507" i="5"/>
  <c r="K536" i="5"/>
  <c r="K585" i="5"/>
  <c r="J268" i="5"/>
  <c r="P268" i="5" s="1"/>
  <c r="K131" i="5"/>
  <c r="J134" i="5" s="1"/>
  <c r="P134" i="5" s="1"/>
  <c r="X399" i="5"/>
  <c r="K508" i="5"/>
  <c r="G564" i="5"/>
  <c r="O564" i="5" s="1"/>
  <c r="J115" i="5"/>
  <c r="P115" i="5" s="1"/>
  <c r="H217" i="5"/>
  <c r="K242" i="5"/>
  <c r="J246" i="5" s="1"/>
  <c r="P246" i="5" s="1"/>
  <c r="K301" i="5"/>
  <c r="K352" i="5"/>
  <c r="H489" i="5"/>
  <c r="H537" i="5"/>
  <c r="J552" i="5"/>
  <c r="P552" i="5" s="1"/>
  <c r="G521" i="5"/>
  <c r="O521" i="5" s="1"/>
  <c r="J36" i="5"/>
  <c r="P36" i="5" s="1"/>
  <c r="G45" i="5"/>
  <c r="O45" i="5" s="1"/>
  <c r="G52" i="5"/>
  <c r="O52" i="5" s="1"/>
  <c r="X69" i="5"/>
  <c r="J84" i="5"/>
  <c r="P84" i="5" s="1"/>
  <c r="G108" i="5"/>
  <c r="O108" i="5" s="1"/>
  <c r="H187" i="5"/>
  <c r="K253" i="5"/>
  <c r="H254" i="5"/>
  <c r="H301" i="5"/>
  <c r="H337" i="5"/>
  <c r="H352" i="5"/>
  <c r="K412" i="5"/>
  <c r="G437" i="5"/>
  <c r="O437" i="5" s="1"/>
  <c r="X437" i="5"/>
  <c r="H444" i="5"/>
  <c r="X448" i="5" s="1"/>
  <c r="H456" i="5"/>
  <c r="K466" i="5"/>
  <c r="K478" i="5"/>
  <c r="H490" i="5"/>
  <c r="H507" i="5"/>
  <c r="G511" i="5" s="1"/>
  <c r="O511" i="5" s="1"/>
  <c r="K528" i="5"/>
  <c r="J531" i="5" s="1"/>
  <c r="P531" i="5" s="1"/>
  <c r="J558" i="5"/>
  <c r="P558" i="5" s="1"/>
  <c r="K576" i="5"/>
  <c r="H585" i="5"/>
  <c r="W590" i="5" s="1"/>
  <c r="K586" i="5"/>
  <c r="K609" i="5"/>
  <c r="K619" i="5"/>
  <c r="J622" i="5" s="1"/>
  <c r="P622" i="5" s="1"/>
  <c r="R48" i="5"/>
  <c r="R63" i="5"/>
  <c r="X78" i="5"/>
  <c r="J99" i="5"/>
  <c r="P99" i="5" s="1"/>
  <c r="G124" i="5"/>
  <c r="O124" i="5" s="1"/>
  <c r="H130" i="5"/>
  <c r="W134" i="5" s="1"/>
  <c r="H174" i="5"/>
  <c r="H230" i="5"/>
  <c r="J384" i="5"/>
  <c r="P384" i="5" s="1"/>
  <c r="J399" i="5"/>
  <c r="P399" i="5" s="1"/>
  <c r="X426" i="5"/>
  <c r="R429" i="5"/>
  <c r="K537" i="5"/>
  <c r="Z552" i="5"/>
  <c r="H575" i="5"/>
  <c r="W580" i="5" s="1"/>
  <c r="L624" i="5"/>
  <c r="R118" i="5"/>
  <c r="H175" i="5"/>
  <c r="K218" i="5"/>
  <c r="K351" i="5"/>
  <c r="R418" i="5"/>
  <c r="R462" i="5"/>
  <c r="L566" i="5"/>
  <c r="K598" i="5"/>
  <c r="H609" i="5"/>
  <c r="W613" i="5" s="1"/>
  <c r="X90" i="5"/>
  <c r="G143" i="5"/>
  <c r="O143" i="5" s="1"/>
  <c r="J202" i="5"/>
  <c r="P202" i="5" s="1"/>
  <c r="K274" i="5"/>
  <c r="K338" i="5"/>
  <c r="K369" i="5"/>
  <c r="G384" i="5"/>
  <c r="O384" i="5" s="1"/>
  <c r="H455" i="5"/>
  <c r="R451" i="5"/>
  <c r="H467" i="5"/>
  <c r="K477" i="5"/>
  <c r="G500" i="5"/>
  <c r="O500" i="5" s="1"/>
  <c r="J521" i="5"/>
  <c r="P521" i="5" s="1"/>
  <c r="X531" i="5"/>
  <c r="Z564" i="5"/>
  <c r="H576" i="5"/>
  <c r="L625" i="5"/>
  <c r="L163" i="5"/>
  <c r="G61" i="5"/>
  <c r="O61" i="5" s="1"/>
  <c r="X84" i="5"/>
  <c r="W36" i="5"/>
  <c r="J45" i="5"/>
  <c r="P45" i="5" s="1"/>
  <c r="J61" i="5"/>
  <c r="P61" i="5" s="1"/>
  <c r="G69" i="5"/>
  <c r="O69" i="5" s="1"/>
  <c r="J108" i="5"/>
  <c r="P108" i="5" s="1"/>
  <c r="G115" i="5"/>
  <c r="O115" i="5" s="1"/>
  <c r="W152" i="5"/>
  <c r="W161" i="5"/>
  <c r="J52" i="5"/>
  <c r="P52" i="5" s="1"/>
  <c r="J69" i="5"/>
  <c r="P69" i="5" s="1"/>
  <c r="J78" i="5"/>
  <c r="P78" i="5" s="1"/>
  <c r="J90" i="5"/>
  <c r="P90" i="5" s="1"/>
  <c r="J152" i="5"/>
  <c r="P152" i="5" s="1"/>
  <c r="G84" i="5"/>
  <c r="O84" i="5" s="1"/>
  <c r="W99" i="5"/>
  <c r="J124" i="5"/>
  <c r="P124" i="5" s="1"/>
  <c r="G134" i="5"/>
  <c r="O134" i="5" s="1"/>
  <c r="J143" i="5"/>
  <c r="P143" i="5" s="1"/>
  <c r="G36" i="5"/>
  <c r="O36" i="5" s="1"/>
  <c r="G99" i="5"/>
  <c r="O99" i="5" s="1"/>
  <c r="G152" i="5"/>
  <c r="O152" i="5" s="1"/>
  <c r="G161" i="5"/>
  <c r="O161" i="5" s="1"/>
  <c r="R30" i="5"/>
  <c r="R39" i="5"/>
  <c r="W52" i="5"/>
  <c r="R72" i="5"/>
  <c r="R102" i="5"/>
  <c r="R111" i="5"/>
  <c r="W124" i="5"/>
  <c r="R137" i="5"/>
  <c r="R155" i="5"/>
  <c r="K217" i="5"/>
  <c r="J222" i="5" s="1"/>
  <c r="P222" i="5" s="1"/>
  <c r="K230" i="5"/>
  <c r="J234" i="5" s="1"/>
  <c r="P234" i="5" s="1"/>
  <c r="H242" i="5"/>
  <c r="W246" i="5" s="1"/>
  <c r="H275" i="5"/>
  <c r="K302" i="5"/>
  <c r="J308" i="5" s="1"/>
  <c r="P308" i="5" s="1"/>
  <c r="R311" i="5"/>
  <c r="J345" i="5"/>
  <c r="P345" i="5" s="1"/>
  <c r="G374" i="5"/>
  <c r="O374" i="5" s="1"/>
  <c r="W45" i="5"/>
  <c r="G78" i="5"/>
  <c r="O78" i="5" s="1"/>
  <c r="G90" i="5"/>
  <c r="O90" i="5" s="1"/>
  <c r="W143" i="5"/>
  <c r="W180" i="5"/>
  <c r="H188" i="5"/>
  <c r="G192" i="5" s="1"/>
  <c r="O192" i="5" s="1"/>
  <c r="G202" i="5"/>
  <c r="O202" i="5" s="1"/>
  <c r="W202" i="5"/>
  <c r="K288" i="5"/>
  <c r="H289" i="5"/>
  <c r="G295" i="5" s="1"/>
  <c r="O295" i="5" s="1"/>
  <c r="J415" i="5"/>
  <c r="P415" i="5" s="1"/>
  <c r="W61" i="5"/>
  <c r="W115" i="5"/>
  <c r="L390" i="5"/>
  <c r="G210" i="5"/>
  <c r="O210" i="5" s="1"/>
  <c r="W234" i="5"/>
  <c r="G268" i="5"/>
  <c r="O268" i="5" s="1"/>
  <c r="W268" i="5"/>
  <c r="K275" i="5"/>
  <c r="K289" i="5"/>
  <c r="H302" i="5"/>
  <c r="W108" i="5"/>
  <c r="G345" i="5"/>
  <c r="O345" i="5" s="1"/>
  <c r="W386" i="5"/>
  <c r="L544" i="5"/>
  <c r="K489" i="5"/>
  <c r="J493" i="5" s="1"/>
  <c r="P493" i="5" s="1"/>
  <c r="X521" i="5"/>
  <c r="H536" i="5"/>
  <c r="G552" i="5"/>
  <c r="O552" i="5" s="1"/>
  <c r="J564" i="5"/>
  <c r="P564" i="5" s="1"/>
  <c r="J566" i="5" s="1"/>
  <c r="H597" i="5"/>
  <c r="W603" i="5" s="1"/>
  <c r="H619" i="5"/>
  <c r="G622" i="5" s="1"/>
  <c r="O622" i="5" s="1"/>
  <c r="W210" i="5"/>
  <c r="W362" i="5"/>
  <c r="W388" i="5"/>
  <c r="J406" i="5"/>
  <c r="P406" i="5" s="1"/>
  <c r="G580" i="5"/>
  <c r="O580" i="5" s="1"/>
  <c r="J603" i="5"/>
  <c r="P603" i="5" s="1"/>
  <c r="W345" i="5"/>
  <c r="W374" i="5"/>
  <c r="X406" i="5"/>
  <c r="R401" i="5"/>
  <c r="G406" i="5"/>
  <c r="O406" i="5" s="1"/>
  <c r="J448" i="5"/>
  <c r="P448" i="5" s="1"/>
  <c r="J470" i="5"/>
  <c r="P470" i="5" s="1"/>
  <c r="J482" i="5"/>
  <c r="P482" i="5" s="1"/>
  <c r="X542" i="5"/>
  <c r="R605" i="5"/>
  <c r="G613" i="5"/>
  <c r="O613" i="5" s="1"/>
  <c r="R377" i="5"/>
  <c r="W384" i="5"/>
  <c r="G399" i="5"/>
  <c r="O399" i="5" s="1"/>
  <c r="R409" i="5"/>
  <c r="J511" i="5"/>
  <c r="P511" i="5" s="1"/>
  <c r="G531" i="5"/>
  <c r="O531" i="5" s="1"/>
  <c r="R554" i="5"/>
  <c r="G558" i="5"/>
  <c r="O558" i="5" s="1"/>
  <c r="Z558" i="5"/>
  <c r="G19" i="5" s="1"/>
  <c r="J590" i="5"/>
  <c r="P590" i="5" s="1"/>
  <c r="X511" i="5"/>
  <c r="R514" i="5"/>
  <c r="G542" i="5"/>
  <c r="O542" i="5" s="1"/>
  <c r="R583" i="5"/>
  <c r="R593" i="5"/>
  <c r="R615" i="5"/>
  <c r="R485" i="5"/>
  <c r="R496" i="5"/>
  <c r="R533" i="5"/>
  <c r="R548" i="5"/>
  <c r="R560" i="5"/>
  <c r="R571" i="5"/>
  <c r="W500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1" i="3"/>
  <c r="CY1" i="3"/>
  <c r="CZ1" i="3"/>
  <c r="DA1" i="3"/>
  <c r="DB1" i="3"/>
  <c r="DC1" i="3"/>
  <c r="A2" i="3"/>
  <c r="CY2" i="3"/>
  <c r="CZ2" i="3"/>
  <c r="DB2" i="3" s="1"/>
  <c r="DA2" i="3"/>
  <c r="DC2" i="3"/>
  <c r="A3" i="3"/>
  <c r="CY3" i="3"/>
  <c r="CZ3" i="3"/>
  <c r="DB3" i="3" s="1"/>
  <c r="DA3" i="3"/>
  <c r="DC3" i="3"/>
  <c r="A4" i="3"/>
  <c r="CY4" i="3"/>
  <c r="CZ4" i="3"/>
  <c r="DA4" i="3"/>
  <c r="DB4" i="3"/>
  <c r="DC4" i="3"/>
  <c r="A5" i="3"/>
  <c r="CY5" i="3"/>
  <c r="CZ5" i="3"/>
  <c r="DA5" i="3"/>
  <c r="DB5" i="3"/>
  <c r="DC5" i="3"/>
  <c r="A6" i="3"/>
  <c r="CY6" i="3"/>
  <c r="CZ6" i="3"/>
  <c r="DB6" i="3" s="1"/>
  <c r="DA6" i="3"/>
  <c r="DC6" i="3"/>
  <c r="A7" i="3"/>
  <c r="CY7" i="3"/>
  <c r="CZ7" i="3"/>
  <c r="DB7" i="3" s="1"/>
  <c r="DA7" i="3"/>
  <c r="DC7" i="3"/>
  <c r="A8" i="3"/>
  <c r="CY8" i="3"/>
  <c r="CZ8" i="3"/>
  <c r="DA8" i="3"/>
  <c r="DB8" i="3"/>
  <c r="DC8" i="3"/>
  <c r="A9" i="3"/>
  <c r="CY9" i="3"/>
  <c r="CZ9" i="3"/>
  <c r="DA9" i="3"/>
  <c r="DB9" i="3"/>
  <c r="DC9" i="3"/>
  <c r="A10" i="3"/>
  <c r="CY10" i="3"/>
  <c r="CZ10" i="3"/>
  <c r="DB10" i="3" s="1"/>
  <c r="DA10" i="3"/>
  <c r="DC10" i="3"/>
  <c r="A11" i="3"/>
  <c r="CX11" i="3"/>
  <c r="CY11" i="3"/>
  <c r="CZ11" i="3"/>
  <c r="DB11" i="3" s="1"/>
  <c r="DA11" i="3"/>
  <c r="DC11" i="3"/>
  <c r="A12" i="3"/>
  <c r="CX12" i="3"/>
  <c r="CY12" i="3"/>
  <c r="CZ12" i="3"/>
  <c r="DA12" i="3"/>
  <c r="DB12" i="3"/>
  <c r="DC12" i="3"/>
  <c r="A13" i="3"/>
  <c r="CX13" i="3"/>
  <c r="CY13" i="3"/>
  <c r="CZ13" i="3"/>
  <c r="DA13" i="3"/>
  <c r="DB13" i="3"/>
  <c r="DC13" i="3"/>
  <c r="A14" i="3"/>
  <c r="CX14" i="3"/>
  <c r="CY14" i="3"/>
  <c r="CZ14" i="3"/>
  <c r="DB14" i="3" s="1"/>
  <c r="DA14" i="3"/>
  <c r="DC14" i="3"/>
  <c r="A15" i="3"/>
  <c r="CX15" i="3"/>
  <c r="CY15" i="3"/>
  <c r="CZ15" i="3"/>
  <c r="DB15" i="3" s="1"/>
  <c r="DA15" i="3"/>
  <c r="DC15" i="3"/>
  <c r="A16" i="3"/>
  <c r="CX16" i="3"/>
  <c r="CY16" i="3"/>
  <c r="CZ16" i="3"/>
  <c r="DA16" i="3"/>
  <c r="DB16" i="3"/>
  <c r="DC16" i="3"/>
  <c r="A17" i="3"/>
  <c r="CX17" i="3"/>
  <c r="CY17" i="3"/>
  <c r="CZ17" i="3"/>
  <c r="DA17" i="3"/>
  <c r="DB17" i="3"/>
  <c r="DC17" i="3"/>
  <c r="A18" i="3"/>
  <c r="CX18" i="3"/>
  <c r="CY18" i="3"/>
  <c r="CZ18" i="3"/>
  <c r="DB18" i="3" s="1"/>
  <c r="DA18" i="3"/>
  <c r="DC18" i="3"/>
  <c r="A19" i="3"/>
  <c r="CY19" i="3"/>
  <c r="CZ19" i="3"/>
  <c r="DB19" i="3" s="1"/>
  <c r="DA19" i="3"/>
  <c r="DC19" i="3"/>
  <c r="A20" i="3"/>
  <c r="CY20" i="3"/>
  <c r="CZ20" i="3"/>
  <c r="DA20" i="3"/>
  <c r="DB20" i="3"/>
  <c r="DC20" i="3"/>
  <c r="A21" i="3"/>
  <c r="CY21" i="3"/>
  <c r="CZ21" i="3"/>
  <c r="DA21" i="3"/>
  <c r="DB21" i="3"/>
  <c r="DC21" i="3"/>
  <c r="A22" i="3"/>
  <c r="CY22" i="3"/>
  <c r="CZ22" i="3"/>
  <c r="DB22" i="3" s="1"/>
  <c r="DA22" i="3"/>
  <c r="DC22" i="3"/>
  <c r="A23" i="3"/>
  <c r="CY23" i="3"/>
  <c r="CZ23" i="3"/>
  <c r="DB23" i="3" s="1"/>
  <c r="DA23" i="3"/>
  <c r="DC23" i="3"/>
  <c r="A24" i="3"/>
  <c r="CY24" i="3"/>
  <c r="CZ24" i="3"/>
  <c r="DA24" i="3"/>
  <c r="DB24" i="3"/>
  <c r="DC24" i="3"/>
  <c r="A25" i="3"/>
  <c r="CX25" i="3"/>
  <c r="CY25" i="3"/>
  <c r="CZ25" i="3"/>
  <c r="DA25" i="3"/>
  <c r="DB25" i="3"/>
  <c r="DC25" i="3"/>
  <c r="A26" i="3"/>
  <c r="CX26" i="3"/>
  <c r="CY26" i="3"/>
  <c r="CZ26" i="3"/>
  <c r="DB26" i="3" s="1"/>
  <c r="DA26" i="3"/>
  <c r="DC26" i="3"/>
  <c r="A27" i="3"/>
  <c r="CX27" i="3"/>
  <c r="CY27" i="3"/>
  <c r="CZ27" i="3"/>
  <c r="DB27" i="3" s="1"/>
  <c r="DA27" i="3"/>
  <c r="DC27" i="3"/>
  <c r="A28" i="3"/>
  <c r="CX28" i="3"/>
  <c r="CY28" i="3"/>
  <c r="CZ28" i="3"/>
  <c r="DA28" i="3"/>
  <c r="DB28" i="3"/>
  <c r="DC28" i="3"/>
  <c r="A29" i="3"/>
  <c r="CX29" i="3"/>
  <c r="CY29" i="3"/>
  <c r="CZ29" i="3"/>
  <c r="DA29" i="3"/>
  <c r="DB29" i="3"/>
  <c r="DC29" i="3"/>
  <c r="A30" i="3"/>
  <c r="CX30" i="3"/>
  <c r="CY30" i="3"/>
  <c r="CZ30" i="3"/>
  <c r="DB30" i="3" s="1"/>
  <c r="DA30" i="3"/>
  <c r="DC30" i="3"/>
  <c r="A31" i="3"/>
  <c r="CX31" i="3"/>
  <c r="CY31" i="3"/>
  <c r="CZ31" i="3"/>
  <c r="DB31" i="3" s="1"/>
  <c r="DA31" i="3"/>
  <c r="DC31" i="3"/>
  <c r="A32" i="3"/>
  <c r="CX32" i="3"/>
  <c r="CY32" i="3"/>
  <c r="CZ32" i="3"/>
  <c r="DA32" i="3"/>
  <c r="DB32" i="3"/>
  <c r="DC32" i="3"/>
  <c r="A33" i="3"/>
  <c r="CX33" i="3"/>
  <c r="CY33" i="3"/>
  <c r="CZ33" i="3"/>
  <c r="DA33" i="3"/>
  <c r="DB33" i="3"/>
  <c r="DC33" i="3"/>
  <c r="A34" i="3"/>
  <c r="CX34" i="3"/>
  <c r="CY34" i="3"/>
  <c r="CZ34" i="3"/>
  <c r="DB34" i="3" s="1"/>
  <c r="DA34" i="3"/>
  <c r="DC34" i="3"/>
  <c r="A35" i="3"/>
  <c r="CX35" i="3"/>
  <c r="CY35" i="3"/>
  <c r="CZ35" i="3"/>
  <c r="DB35" i="3" s="1"/>
  <c r="DA35" i="3"/>
  <c r="DC35" i="3"/>
  <c r="A36" i="3"/>
  <c r="CX36" i="3"/>
  <c r="CY36" i="3"/>
  <c r="CZ36" i="3"/>
  <c r="DA36" i="3"/>
  <c r="DB36" i="3"/>
  <c r="DC36" i="3"/>
  <c r="A37" i="3"/>
  <c r="CY37" i="3"/>
  <c r="CZ37" i="3"/>
  <c r="DA37" i="3"/>
  <c r="DB37" i="3"/>
  <c r="DC37" i="3"/>
  <c r="A38" i="3"/>
  <c r="CY38" i="3"/>
  <c r="CZ38" i="3"/>
  <c r="DB38" i="3" s="1"/>
  <c r="DA38" i="3"/>
  <c r="DC38" i="3"/>
  <c r="A39" i="3"/>
  <c r="CY39" i="3"/>
  <c r="CZ39" i="3"/>
  <c r="DB39" i="3" s="1"/>
  <c r="DA39" i="3"/>
  <c r="DC39" i="3"/>
  <c r="A40" i="3"/>
  <c r="CY40" i="3"/>
  <c r="CZ40" i="3"/>
  <c r="DA40" i="3"/>
  <c r="DB40" i="3"/>
  <c r="DC40" i="3"/>
  <c r="A41" i="3"/>
  <c r="CY41" i="3"/>
  <c r="CZ41" i="3"/>
  <c r="DA41" i="3"/>
  <c r="DB41" i="3"/>
  <c r="DC41" i="3"/>
  <c r="A42" i="3"/>
  <c r="CY42" i="3"/>
  <c r="CZ42" i="3"/>
  <c r="DB42" i="3" s="1"/>
  <c r="DA42" i="3"/>
  <c r="DC42" i="3"/>
  <c r="A43" i="3"/>
  <c r="CY43" i="3"/>
  <c r="CZ43" i="3"/>
  <c r="DB43" i="3" s="1"/>
  <c r="DA43" i="3"/>
  <c r="DC43" i="3"/>
  <c r="A44" i="3"/>
  <c r="CY44" i="3"/>
  <c r="CZ44" i="3"/>
  <c r="DA44" i="3"/>
  <c r="DB44" i="3"/>
  <c r="DC44" i="3"/>
  <c r="A45" i="3"/>
  <c r="CY45" i="3"/>
  <c r="CZ45" i="3"/>
  <c r="DA45" i="3"/>
  <c r="DB45" i="3"/>
  <c r="DC45" i="3"/>
  <c r="A46" i="3"/>
  <c r="CY46" i="3"/>
  <c r="CZ46" i="3"/>
  <c r="DB46" i="3" s="1"/>
  <c r="DA46" i="3"/>
  <c r="DC46" i="3"/>
  <c r="A47" i="3"/>
  <c r="CY47" i="3"/>
  <c r="CZ47" i="3"/>
  <c r="DB47" i="3" s="1"/>
  <c r="DA47" i="3"/>
  <c r="DC47" i="3"/>
  <c r="A48" i="3"/>
  <c r="CY48" i="3"/>
  <c r="CZ48" i="3"/>
  <c r="DA48" i="3"/>
  <c r="DB48" i="3"/>
  <c r="DC48" i="3"/>
  <c r="A49" i="3"/>
  <c r="CY49" i="3"/>
  <c r="CZ49" i="3"/>
  <c r="DA49" i="3"/>
  <c r="DB49" i="3"/>
  <c r="DC49" i="3"/>
  <c r="A50" i="3"/>
  <c r="CY50" i="3"/>
  <c r="CZ50" i="3"/>
  <c r="DB50" i="3" s="1"/>
  <c r="DA50" i="3"/>
  <c r="DC50" i="3"/>
  <c r="A51" i="3"/>
  <c r="CY51" i="3"/>
  <c r="CZ51" i="3"/>
  <c r="DB51" i="3" s="1"/>
  <c r="DA51" i="3"/>
  <c r="DC51" i="3"/>
  <c r="A52" i="3"/>
  <c r="CY52" i="3"/>
  <c r="CZ52" i="3"/>
  <c r="DA52" i="3"/>
  <c r="DB52" i="3"/>
  <c r="DC52" i="3"/>
  <c r="A53" i="3"/>
  <c r="CY53" i="3"/>
  <c r="CZ53" i="3"/>
  <c r="DA53" i="3"/>
  <c r="DB53" i="3"/>
  <c r="DC53" i="3"/>
  <c r="A54" i="3"/>
  <c r="CY54" i="3"/>
  <c r="CZ54" i="3"/>
  <c r="DB54" i="3" s="1"/>
  <c r="DA54" i="3"/>
  <c r="DC54" i="3"/>
  <c r="A55" i="3"/>
  <c r="CY55" i="3"/>
  <c r="CZ55" i="3"/>
  <c r="DB55" i="3" s="1"/>
  <c r="DA55" i="3"/>
  <c r="DC55" i="3"/>
  <c r="A56" i="3"/>
  <c r="CY56" i="3"/>
  <c r="CZ56" i="3"/>
  <c r="DA56" i="3"/>
  <c r="DB56" i="3"/>
  <c r="DC56" i="3"/>
  <c r="A57" i="3"/>
  <c r="CY57" i="3"/>
  <c r="CZ57" i="3"/>
  <c r="DA57" i="3"/>
  <c r="DB57" i="3"/>
  <c r="DC57" i="3"/>
  <c r="A58" i="3"/>
  <c r="CY58" i="3"/>
  <c r="CZ58" i="3"/>
  <c r="DB58" i="3" s="1"/>
  <c r="DA58" i="3"/>
  <c r="DC58" i="3"/>
  <c r="A59" i="3"/>
  <c r="CY59" i="3"/>
  <c r="CZ59" i="3"/>
  <c r="DB59" i="3" s="1"/>
  <c r="DA59" i="3"/>
  <c r="DC59" i="3"/>
  <c r="A60" i="3"/>
  <c r="CY60" i="3"/>
  <c r="CZ60" i="3"/>
  <c r="DA60" i="3"/>
  <c r="DB60" i="3"/>
  <c r="DC60" i="3"/>
  <c r="A61" i="3"/>
  <c r="CY61" i="3"/>
  <c r="CZ61" i="3"/>
  <c r="DA61" i="3"/>
  <c r="DB61" i="3"/>
  <c r="DC61" i="3"/>
  <c r="A62" i="3"/>
  <c r="CY62" i="3"/>
  <c r="CZ62" i="3"/>
  <c r="DB62" i="3" s="1"/>
  <c r="DA62" i="3"/>
  <c r="DC62" i="3"/>
  <c r="A63" i="3"/>
  <c r="CY63" i="3"/>
  <c r="CZ63" i="3"/>
  <c r="DB63" i="3" s="1"/>
  <c r="DA63" i="3"/>
  <c r="DC63" i="3"/>
  <c r="A64" i="3"/>
  <c r="CY64" i="3"/>
  <c r="CZ64" i="3"/>
  <c r="DA64" i="3"/>
  <c r="DB64" i="3"/>
  <c r="DC64" i="3"/>
  <c r="A65" i="3"/>
  <c r="CY65" i="3"/>
  <c r="CZ65" i="3"/>
  <c r="DA65" i="3"/>
  <c r="DB65" i="3"/>
  <c r="DC65" i="3"/>
  <c r="A66" i="3"/>
  <c r="CY66" i="3"/>
  <c r="CZ66" i="3"/>
  <c r="DB66" i="3" s="1"/>
  <c r="DA66" i="3"/>
  <c r="DC66" i="3"/>
  <c r="A67" i="3"/>
  <c r="CY67" i="3"/>
  <c r="CZ67" i="3"/>
  <c r="DB67" i="3" s="1"/>
  <c r="DA67" i="3"/>
  <c r="DC67" i="3"/>
  <c r="A68" i="3"/>
  <c r="CY68" i="3"/>
  <c r="CZ68" i="3"/>
  <c r="DA68" i="3"/>
  <c r="DB68" i="3"/>
  <c r="DC68" i="3"/>
  <c r="A69" i="3"/>
  <c r="CY69" i="3"/>
  <c r="CZ69" i="3"/>
  <c r="DA69" i="3"/>
  <c r="DB69" i="3"/>
  <c r="DC69" i="3"/>
  <c r="A70" i="3"/>
  <c r="CY70" i="3"/>
  <c r="CZ70" i="3"/>
  <c r="DB70" i="3" s="1"/>
  <c r="DA70" i="3"/>
  <c r="DC70" i="3"/>
  <c r="A71" i="3"/>
  <c r="CY71" i="3"/>
  <c r="CZ71" i="3"/>
  <c r="DB71" i="3" s="1"/>
  <c r="DA71" i="3"/>
  <c r="DC71" i="3"/>
  <c r="A72" i="3"/>
  <c r="CY72" i="3"/>
  <c r="CZ72" i="3"/>
  <c r="DA72" i="3"/>
  <c r="DB72" i="3"/>
  <c r="DC72" i="3"/>
  <c r="A73" i="3"/>
  <c r="CY73" i="3"/>
  <c r="CZ73" i="3"/>
  <c r="DA73" i="3"/>
  <c r="DB73" i="3"/>
  <c r="DC73" i="3"/>
  <c r="A74" i="3"/>
  <c r="CY74" i="3"/>
  <c r="CZ74" i="3"/>
  <c r="DB74" i="3" s="1"/>
  <c r="DA74" i="3"/>
  <c r="DC74" i="3"/>
  <c r="A75" i="3"/>
  <c r="CY75" i="3"/>
  <c r="CZ75" i="3"/>
  <c r="DB75" i="3" s="1"/>
  <c r="DA75" i="3"/>
  <c r="DC75" i="3"/>
  <c r="A76" i="3"/>
  <c r="CY76" i="3"/>
  <c r="CZ76" i="3"/>
  <c r="DA76" i="3"/>
  <c r="DB76" i="3"/>
  <c r="DC76" i="3"/>
  <c r="A77" i="3"/>
  <c r="CY77" i="3"/>
  <c r="CZ77" i="3"/>
  <c r="DA77" i="3"/>
  <c r="DB77" i="3"/>
  <c r="DC77" i="3"/>
  <c r="A78" i="3"/>
  <c r="CY78" i="3"/>
  <c r="CZ78" i="3"/>
  <c r="DB78" i="3" s="1"/>
  <c r="DA78" i="3"/>
  <c r="DC78" i="3"/>
  <c r="A79" i="3"/>
  <c r="CY79" i="3"/>
  <c r="CZ79" i="3"/>
  <c r="DB79" i="3" s="1"/>
  <c r="DA79" i="3"/>
  <c r="DC79" i="3"/>
  <c r="A80" i="3"/>
  <c r="CY80" i="3"/>
  <c r="CZ80" i="3"/>
  <c r="DA80" i="3"/>
  <c r="DB80" i="3"/>
  <c r="DC80" i="3"/>
  <c r="A81" i="3"/>
  <c r="CY81" i="3"/>
  <c r="CZ81" i="3"/>
  <c r="DA81" i="3"/>
  <c r="DB81" i="3"/>
  <c r="DC81" i="3"/>
  <c r="A82" i="3"/>
  <c r="CY82" i="3"/>
  <c r="CZ82" i="3"/>
  <c r="DB82" i="3" s="1"/>
  <c r="DA82" i="3"/>
  <c r="DC82" i="3"/>
  <c r="A83" i="3"/>
  <c r="CY83" i="3"/>
  <c r="CZ83" i="3"/>
  <c r="DB83" i="3" s="1"/>
  <c r="DA83" i="3"/>
  <c r="DC83" i="3"/>
  <c r="A84" i="3"/>
  <c r="CY84" i="3"/>
  <c r="CZ84" i="3"/>
  <c r="DA84" i="3"/>
  <c r="DB84" i="3"/>
  <c r="DC84" i="3"/>
  <c r="A85" i="3"/>
  <c r="CY85" i="3"/>
  <c r="CZ85" i="3"/>
  <c r="DA85" i="3"/>
  <c r="DB85" i="3"/>
  <c r="DC85" i="3"/>
  <c r="A86" i="3"/>
  <c r="CY86" i="3"/>
  <c r="CZ86" i="3"/>
  <c r="DB86" i="3" s="1"/>
  <c r="DA86" i="3"/>
  <c r="DC86" i="3"/>
  <c r="A87" i="3"/>
  <c r="CY87" i="3"/>
  <c r="CZ87" i="3"/>
  <c r="DB87" i="3" s="1"/>
  <c r="DA87" i="3"/>
  <c r="DC87" i="3"/>
  <c r="A88" i="3"/>
  <c r="CY88" i="3"/>
  <c r="CZ88" i="3"/>
  <c r="DA88" i="3"/>
  <c r="DB88" i="3"/>
  <c r="DC88" i="3"/>
  <c r="A89" i="3"/>
  <c r="CY89" i="3"/>
  <c r="CZ89" i="3"/>
  <c r="DA89" i="3"/>
  <c r="DB89" i="3"/>
  <c r="DC89" i="3"/>
  <c r="A90" i="3"/>
  <c r="CY90" i="3"/>
  <c r="CZ90" i="3"/>
  <c r="DB90" i="3" s="1"/>
  <c r="DA90" i="3"/>
  <c r="DC90" i="3"/>
  <c r="A91" i="3"/>
  <c r="CY91" i="3"/>
  <c r="CZ91" i="3"/>
  <c r="DB91" i="3" s="1"/>
  <c r="DA91" i="3"/>
  <c r="DC91" i="3"/>
  <c r="A92" i="3"/>
  <c r="CY92" i="3"/>
  <c r="CZ92" i="3"/>
  <c r="DA92" i="3"/>
  <c r="DB92" i="3"/>
  <c r="DC92" i="3"/>
  <c r="A93" i="3"/>
  <c r="CY93" i="3"/>
  <c r="CZ93" i="3"/>
  <c r="DA93" i="3"/>
  <c r="DB93" i="3"/>
  <c r="DC93" i="3"/>
  <c r="A94" i="3"/>
  <c r="CY94" i="3"/>
  <c r="CZ94" i="3"/>
  <c r="DB94" i="3" s="1"/>
  <c r="DA94" i="3"/>
  <c r="DC94" i="3"/>
  <c r="A95" i="3"/>
  <c r="CY95" i="3"/>
  <c r="CZ95" i="3"/>
  <c r="DB95" i="3" s="1"/>
  <c r="DA95" i="3"/>
  <c r="DC95" i="3"/>
  <c r="A96" i="3"/>
  <c r="CY96" i="3"/>
  <c r="CZ96" i="3"/>
  <c r="DA96" i="3"/>
  <c r="DB96" i="3"/>
  <c r="DC96" i="3"/>
  <c r="A97" i="3"/>
  <c r="CY97" i="3"/>
  <c r="CZ97" i="3"/>
  <c r="DA97" i="3"/>
  <c r="DB97" i="3"/>
  <c r="DC97" i="3"/>
  <c r="A98" i="3"/>
  <c r="CY98" i="3"/>
  <c r="CZ98" i="3"/>
  <c r="DB98" i="3" s="1"/>
  <c r="DA98" i="3"/>
  <c r="DC98" i="3"/>
  <c r="A99" i="3"/>
  <c r="CY99" i="3"/>
  <c r="CZ99" i="3"/>
  <c r="DB99" i="3" s="1"/>
  <c r="DA99" i="3"/>
  <c r="DC99" i="3"/>
  <c r="A100" i="3"/>
  <c r="CY100" i="3"/>
  <c r="CZ100" i="3"/>
  <c r="DA100" i="3"/>
  <c r="DB100" i="3"/>
  <c r="DC100" i="3"/>
  <c r="A101" i="3"/>
  <c r="CY101" i="3"/>
  <c r="CZ101" i="3"/>
  <c r="DA101" i="3"/>
  <c r="DB101" i="3"/>
  <c r="DC101" i="3"/>
  <c r="A102" i="3"/>
  <c r="CY102" i="3"/>
  <c r="CZ102" i="3"/>
  <c r="DB102" i="3" s="1"/>
  <c r="DA102" i="3"/>
  <c r="DC102" i="3"/>
  <c r="A103" i="3"/>
  <c r="CY103" i="3"/>
  <c r="CZ103" i="3"/>
  <c r="DB103" i="3" s="1"/>
  <c r="DA103" i="3"/>
  <c r="DC103" i="3"/>
  <c r="A104" i="3"/>
  <c r="CY104" i="3"/>
  <c r="CZ104" i="3"/>
  <c r="DA104" i="3"/>
  <c r="DB104" i="3"/>
  <c r="DC104" i="3"/>
  <c r="A105" i="3"/>
  <c r="CY105" i="3"/>
  <c r="CZ105" i="3"/>
  <c r="DA105" i="3"/>
  <c r="DB105" i="3"/>
  <c r="DC105" i="3"/>
  <c r="A106" i="3"/>
  <c r="CY106" i="3"/>
  <c r="CZ106" i="3"/>
  <c r="DB106" i="3" s="1"/>
  <c r="DA106" i="3"/>
  <c r="DC106" i="3"/>
  <c r="A107" i="3"/>
  <c r="CY107" i="3"/>
  <c r="CZ107" i="3"/>
  <c r="DB107" i="3" s="1"/>
  <c r="DA107" i="3"/>
  <c r="DC107" i="3"/>
  <c r="A108" i="3"/>
  <c r="CY108" i="3"/>
  <c r="CZ108" i="3"/>
  <c r="DA108" i="3"/>
  <c r="DB108" i="3"/>
  <c r="DC108" i="3"/>
  <c r="A109" i="3"/>
  <c r="CY109" i="3"/>
  <c r="CZ109" i="3"/>
  <c r="DA109" i="3"/>
  <c r="DB109" i="3"/>
  <c r="DC109" i="3"/>
  <c r="A110" i="3"/>
  <c r="CY110" i="3"/>
  <c r="CZ110" i="3"/>
  <c r="DB110" i="3" s="1"/>
  <c r="DA110" i="3"/>
  <c r="DC110" i="3"/>
  <c r="A111" i="3"/>
  <c r="CY111" i="3"/>
  <c r="CZ111" i="3"/>
  <c r="DB111" i="3" s="1"/>
  <c r="DA111" i="3"/>
  <c r="DC111" i="3"/>
  <c r="A112" i="3"/>
  <c r="CY112" i="3"/>
  <c r="CZ112" i="3"/>
  <c r="DA112" i="3"/>
  <c r="DB112" i="3"/>
  <c r="DC112" i="3"/>
  <c r="A113" i="3"/>
  <c r="CY113" i="3"/>
  <c r="CZ113" i="3"/>
  <c r="DA113" i="3"/>
  <c r="DB113" i="3"/>
  <c r="DC113" i="3"/>
  <c r="A114" i="3"/>
  <c r="CY114" i="3"/>
  <c r="CZ114" i="3"/>
  <c r="DB114" i="3" s="1"/>
  <c r="DA114" i="3"/>
  <c r="DC114" i="3"/>
  <c r="A115" i="3"/>
  <c r="CY115" i="3"/>
  <c r="CZ115" i="3"/>
  <c r="DB115" i="3" s="1"/>
  <c r="DA115" i="3"/>
  <c r="DC115" i="3"/>
  <c r="A116" i="3"/>
  <c r="CY116" i="3"/>
  <c r="CZ116" i="3"/>
  <c r="DA116" i="3"/>
  <c r="DB116" i="3"/>
  <c r="DC116" i="3"/>
  <c r="A117" i="3"/>
  <c r="CY117" i="3"/>
  <c r="CZ117" i="3"/>
  <c r="DA117" i="3"/>
  <c r="DB117" i="3"/>
  <c r="DC117" i="3"/>
  <c r="A118" i="3"/>
  <c r="CY118" i="3"/>
  <c r="CZ118" i="3"/>
  <c r="DB118" i="3" s="1"/>
  <c r="DA118" i="3"/>
  <c r="DC118" i="3"/>
  <c r="A119" i="3"/>
  <c r="CY119" i="3"/>
  <c r="CZ119" i="3"/>
  <c r="DB119" i="3" s="1"/>
  <c r="DA119" i="3"/>
  <c r="DC119" i="3"/>
  <c r="A120" i="3"/>
  <c r="CY120" i="3"/>
  <c r="CZ120" i="3"/>
  <c r="DA120" i="3"/>
  <c r="DB120" i="3"/>
  <c r="DC120" i="3"/>
  <c r="A121" i="3"/>
  <c r="CY121" i="3"/>
  <c r="CZ121" i="3"/>
  <c r="DA121" i="3"/>
  <c r="DB121" i="3"/>
  <c r="DC121" i="3"/>
  <c r="A122" i="3"/>
  <c r="CY122" i="3"/>
  <c r="CZ122" i="3"/>
  <c r="DB122" i="3" s="1"/>
  <c r="DA122" i="3"/>
  <c r="DC122" i="3"/>
  <c r="A123" i="3"/>
  <c r="CY123" i="3"/>
  <c r="CZ123" i="3"/>
  <c r="DB123" i="3" s="1"/>
  <c r="DA123" i="3"/>
  <c r="DC123" i="3"/>
  <c r="A124" i="3"/>
  <c r="CY124" i="3"/>
  <c r="CZ124" i="3"/>
  <c r="DA124" i="3"/>
  <c r="DB124" i="3"/>
  <c r="DC124" i="3"/>
  <c r="A125" i="3"/>
  <c r="CY125" i="3"/>
  <c r="CZ125" i="3"/>
  <c r="DA125" i="3"/>
  <c r="DB125" i="3"/>
  <c r="DC125" i="3"/>
  <c r="A126" i="3"/>
  <c r="CY126" i="3"/>
  <c r="CZ126" i="3"/>
  <c r="DB126" i="3" s="1"/>
  <c r="DA126" i="3"/>
  <c r="DC126" i="3"/>
  <c r="A127" i="3"/>
  <c r="CY127" i="3"/>
  <c r="CZ127" i="3"/>
  <c r="DB127" i="3" s="1"/>
  <c r="DA127" i="3"/>
  <c r="DC127" i="3"/>
  <c r="A128" i="3"/>
  <c r="CY128" i="3"/>
  <c r="CZ128" i="3"/>
  <c r="DA128" i="3"/>
  <c r="DB128" i="3"/>
  <c r="DC128" i="3"/>
  <c r="A129" i="3"/>
  <c r="CY129" i="3"/>
  <c r="CZ129" i="3"/>
  <c r="DA129" i="3"/>
  <c r="DB129" i="3"/>
  <c r="DC129" i="3"/>
  <c r="A130" i="3"/>
  <c r="CY130" i="3"/>
  <c r="CZ130" i="3"/>
  <c r="DB130" i="3" s="1"/>
  <c r="DA130" i="3"/>
  <c r="DC130" i="3"/>
  <c r="A131" i="3"/>
  <c r="CY131" i="3"/>
  <c r="CZ131" i="3"/>
  <c r="DB131" i="3" s="1"/>
  <c r="DA131" i="3"/>
  <c r="DC131" i="3"/>
  <c r="A132" i="3"/>
  <c r="CY132" i="3"/>
  <c r="CZ132" i="3"/>
  <c r="DA132" i="3"/>
  <c r="DB132" i="3"/>
  <c r="DC132" i="3"/>
  <c r="A133" i="3"/>
  <c r="CY133" i="3"/>
  <c r="CZ133" i="3"/>
  <c r="DA133" i="3"/>
  <c r="DB133" i="3"/>
  <c r="DC133" i="3"/>
  <c r="A134" i="3"/>
  <c r="CY134" i="3"/>
  <c r="CZ134" i="3"/>
  <c r="DB134" i="3" s="1"/>
  <c r="DA134" i="3"/>
  <c r="DC134" i="3"/>
  <c r="A135" i="3"/>
  <c r="CY135" i="3"/>
  <c r="CZ135" i="3"/>
  <c r="DB135" i="3" s="1"/>
  <c r="DA135" i="3"/>
  <c r="DC135" i="3"/>
  <c r="A136" i="3"/>
  <c r="CY136" i="3"/>
  <c r="CZ136" i="3"/>
  <c r="DA136" i="3"/>
  <c r="DB136" i="3"/>
  <c r="DC136" i="3"/>
  <c r="A137" i="3"/>
  <c r="CY137" i="3"/>
  <c r="CZ137" i="3"/>
  <c r="DA137" i="3"/>
  <c r="DB137" i="3"/>
  <c r="DC137" i="3"/>
  <c r="A138" i="3"/>
  <c r="CY138" i="3"/>
  <c r="CZ138" i="3"/>
  <c r="DB138" i="3" s="1"/>
  <c r="DA138" i="3"/>
  <c r="DC138" i="3"/>
  <c r="A139" i="3"/>
  <c r="CY139" i="3"/>
  <c r="CZ139" i="3"/>
  <c r="DB139" i="3" s="1"/>
  <c r="DA139" i="3"/>
  <c r="DC139" i="3"/>
  <c r="A140" i="3"/>
  <c r="CY140" i="3"/>
  <c r="CZ140" i="3"/>
  <c r="DA140" i="3"/>
  <c r="DB140" i="3"/>
  <c r="DC140" i="3"/>
  <c r="A141" i="3"/>
  <c r="CY141" i="3"/>
  <c r="CZ141" i="3"/>
  <c r="DA141" i="3"/>
  <c r="DB141" i="3"/>
  <c r="DC141" i="3"/>
  <c r="A142" i="3"/>
  <c r="CY142" i="3"/>
  <c r="CZ142" i="3"/>
  <c r="DB142" i="3" s="1"/>
  <c r="DA142" i="3"/>
  <c r="DC142" i="3"/>
  <c r="A143" i="3"/>
  <c r="CY143" i="3"/>
  <c r="CZ143" i="3"/>
  <c r="DB143" i="3" s="1"/>
  <c r="DA143" i="3"/>
  <c r="DC143" i="3"/>
  <c r="A144" i="3"/>
  <c r="CY144" i="3"/>
  <c r="CZ144" i="3"/>
  <c r="DA144" i="3"/>
  <c r="DB144" i="3"/>
  <c r="DC144" i="3"/>
  <c r="A145" i="3"/>
  <c r="CY145" i="3"/>
  <c r="CZ145" i="3"/>
  <c r="DA145" i="3"/>
  <c r="DB145" i="3"/>
  <c r="DC145" i="3"/>
  <c r="A146" i="3"/>
  <c r="CY146" i="3"/>
  <c r="CZ146" i="3"/>
  <c r="DB146" i="3" s="1"/>
  <c r="DA146" i="3"/>
  <c r="DC146" i="3"/>
  <c r="A147" i="3"/>
  <c r="CY147" i="3"/>
  <c r="CZ147" i="3"/>
  <c r="DB147" i="3" s="1"/>
  <c r="DA147" i="3"/>
  <c r="DC147" i="3"/>
  <c r="A148" i="3"/>
  <c r="CY148" i="3"/>
  <c r="CZ148" i="3"/>
  <c r="DA148" i="3"/>
  <c r="DB148" i="3"/>
  <c r="DC148" i="3"/>
  <c r="A149" i="3"/>
  <c r="CY149" i="3"/>
  <c r="CZ149" i="3"/>
  <c r="DA149" i="3"/>
  <c r="DB149" i="3"/>
  <c r="DC149" i="3"/>
  <c r="A150" i="3"/>
  <c r="CY150" i="3"/>
  <c r="CZ150" i="3"/>
  <c r="DB150" i="3" s="1"/>
  <c r="DA150" i="3"/>
  <c r="DC150" i="3"/>
  <c r="A151" i="3"/>
  <c r="CY151" i="3"/>
  <c r="CZ151" i="3"/>
  <c r="DB151" i="3" s="1"/>
  <c r="DA151" i="3"/>
  <c r="DC151" i="3"/>
  <c r="A152" i="3"/>
  <c r="CY152" i="3"/>
  <c r="CZ152" i="3"/>
  <c r="DA152" i="3"/>
  <c r="DB152" i="3"/>
  <c r="DC152" i="3"/>
  <c r="A153" i="3"/>
  <c r="CY153" i="3"/>
  <c r="CZ153" i="3"/>
  <c r="DA153" i="3"/>
  <c r="DB153" i="3"/>
  <c r="DC153" i="3"/>
  <c r="A154" i="3"/>
  <c r="CY154" i="3"/>
  <c r="CZ154" i="3"/>
  <c r="DB154" i="3" s="1"/>
  <c r="DA154" i="3"/>
  <c r="DC154" i="3"/>
  <c r="A155" i="3"/>
  <c r="CY155" i="3"/>
  <c r="CZ155" i="3"/>
  <c r="DB155" i="3" s="1"/>
  <c r="DA155" i="3"/>
  <c r="DC155" i="3"/>
  <c r="A156" i="3"/>
  <c r="CY156" i="3"/>
  <c r="CZ156" i="3"/>
  <c r="DA156" i="3"/>
  <c r="DB156" i="3"/>
  <c r="DC156" i="3"/>
  <c r="A157" i="3"/>
  <c r="CY157" i="3"/>
  <c r="CZ157" i="3"/>
  <c r="DA157" i="3"/>
  <c r="DB157" i="3"/>
  <c r="DC157" i="3"/>
  <c r="A158" i="3"/>
  <c r="CY158" i="3"/>
  <c r="CZ158" i="3"/>
  <c r="DB158" i="3" s="1"/>
  <c r="DA158" i="3"/>
  <c r="DC158" i="3"/>
  <c r="A159" i="3"/>
  <c r="CY159" i="3"/>
  <c r="CZ159" i="3"/>
  <c r="DB159" i="3" s="1"/>
  <c r="DA159" i="3"/>
  <c r="DC159" i="3"/>
  <c r="A160" i="3"/>
  <c r="CY160" i="3"/>
  <c r="CZ160" i="3"/>
  <c r="DA160" i="3"/>
  <c r="DB160" i="3"/>
  <c r="DC160" i="3"/>
  <c r="A161" i="3"/>
  <c r="CY161" i="3"/>
  <c r="CZ161" i="3"/>
  <c r="DA161" i="3"/>
  <c r="DB161" i="3"/>
  <c r="DC161" i="3"/>
  <c r="A162" i="3"/>
  <c r="CY162" i="3"/>
  <c r="CZ162" i="3"/>
  <c r="DB162" i="3" s="1"/>
  <c r="DA162" i="3"/>
  <c r="DC162" i="3"/>
  <c r="A163" i="3"/>
  <c r="CY163" i="3"/>
  <c r="CZ163" i="3"/>
  <c r="DB163" i="3" s="1"/>
  <c r="DA163" i="3"/>
  <c r="DC163" i="3"/>
  <c r="A164" i="3"/>
  <c r="CY164" i="3"/>
  <c r="CZ164" i="3"/>
  <c r="DA164" i="3"/>
  <c r="DB164" i="3"/>
  <c r="DC164" i="3"/>
  <c r="A165" i="3"/>
  <c r="CY165" i="3"/>
  <c r="CZ165" i="3"/>
  <c r="DA165" i="3"/>
  <c r="DB165" i="3"/>
  <c r="DC165" i="3"/>
  <c r="A166" i="3"/>
  <c r="CY166" i="3"/>
  <c r="CZ166" i="3"/>
  <c r="DB166" i="3" s="1"/>
  <c r="DA166" i="3"/>
  <c r="DC166" i="3"/>
  <c r="A167" i="3"/>
  <c r="CY167" i="3"/>
  <c r="CZ167" i="3"/>
  <c r="DB167" i="3" s="1"/>
  <c r="DA167" i="3"/>
  <c r="DC167" i="3"/>
  <c r="A168" i="3"/>
  <c r="CY168" i="3"/>
  <c r="CZ168" i="3"/>
  <c r="DA168" i="3"/>
  <c r="DB168" i="3"/>
  <c r="DC168" i="3"/>
  <c r="A169" i="3"/>
  <c r="CY169" i="3"/>
  <c r="CZ169" i="3"/>
  <c r="DA169" i="3"/>
  <c r="DB169" i="3"/>
  <c r="DC169" i="3"/>
  <c r="A170" i="3"/>
  <c r="CY170" i="3"/>
  <c r="CZ170" i="3"/>
  <c r="DB170" i="3" s="1"/>
  <c r="DA170" i="3"/>
  <c r="DC170" i="3"/>
  <c r="A171" i="3"/>
  <c r="CY171" i="3"/>
  <c r="CZ171" i="3"/>
  <c r="DB171" i="3" s="1"/>
  <c r="DA171" i="3"/>
  <c r="DC171" i="3"/>
  <c r="A172" i="3"/>
  <c r="CY172" i="3"/>
  <c r="CZ172" i="3"/>
  <c r="DA172" i="3"/>
  <c r="DB172" i="3"/>
  <c r="DC172" i="3"/>
  <c r="A173" i="3"/>
  <c r="CY173" i="3"/>
  <c r="CZ173" i="3"/>
  <c r="DA173" i="3"/>
  <c r="DB173" i="3"/>
  <c r="DC173" i="3"/>
  <c r="A174" i="3"/>
  <c r="CY174" i="3"/>
  <c r="CZ174" i="3"/>
  <c r="DB174" i="3" s="1"/>
  <c r="DA174" i="3"/>
  <c r="DC174" i="3"/>
  <c r="A175" i="3"/>
  <c r="CY175" i="3"/>
  <c r="CZ175" i="3"/>
  <c r="DB175" i="3" s="1"/>
  <c r="DA175" i="3"/>
  <c r="DC175" i="3"/>
  <c r="A176" i="3"/>
  <c r="CY176" i="3"/>
  <c r="CZ176" i="3"/>
  <c r="DA176" i="3"/>
  <c r="DB176" i="3"/>
  <c r="DC176" i="3"/>
  <c r="A177" i="3"/>
  <c r="CY177" i="3"/>
  <c r="CZ177" i="3"/>
  <c r="DA177" i="3"/>
  <c r="DB177" i="3"/>
  <c r="DC177" i="3"/>
  <c r="A178" i="3"/>
  <c r="CY178" i="3"/>
  <c r="CZ178" i="3"/>
  <c r="DB178" i="3" s="1"/>
  <c r="DA178" i="3"/>
  <c r="DC178" i="3"/>
  <c r="A179" i="3"/>
  <c r="CY179" i="3"/>
  <c r="CZ179" i="3"/>
  <c r="DA179" i="3"/>
  <c r="DB179" i="3"/>
  <c r="DC179" i="3"/>
  <c r="A180" i="3"/>
  <c r="CY180" i="3"/>
  <c r="CZ180" i="3"/>
  <c r="DB180" i="3" s="1"/>
  <c r="DA180" i="3"/>
  <c r="DC180" i="3"/>
  <c r="A181" i="3"/>
  <c r="CY181" i="3"/>
  <c r="CZ181" i="3"/>
  <c r="DB181" i="3" s="1"/>
  <c r="DA181" i="3"/>
  <c r="DC181" i="3"/>
  <c r="A182" i="3"/>
  <c r="CY182" i="3"/>
  <c r="CZ182" i="3"/>
  <c r="DA182" i="3"/>
  <c r="DB182" i="3"/>
  <c r="DC182" i="3"/>
  <c r="A183" i="3"/>
  <c r="CY183" i="3"/>
  <c r="CZ183" i="3"/>
  <c r="DA183" i="3"/>
  <c r="DB183" i="3"/>
  <c r="DC183" i="3"/>
  <c r="A184" i="3"/>
  <c r="CY184" i="3"/>
  <c r="CZ184" i="3"/>
  <c r="DB184" i="3" s="1"/>
  <c r="DA184" i="3"/>
  <c r="DC184" i="3"/>
  <c r="A185" i="3"/>
  <c r="CY185" i="3"/>
  <c r="CZ185" i="3"/>
  <c r="DB185" i="3" s="1"/>
  <c r="DA185" i="3"/>
  <c r="DC185" i="3"/>
  <c r="A186" i="3"/>
  <c r="CY186" i="3"/>
  <c r="CZ186" i="3"/>
  <c r="DA186" i="3"/>
  <c r="DB186" i="3"/>
  <c r="DC186" i="3"/>
  <c r="A187" i="3"/>
  <c r="CY187" i="3"/>
  <c r="CZ187" i="3"/>
  <c r="DA187" i="3"/>
  <c r="DB187" i="3"/>
  <c r="DC187" i="3"/>
  <c r="A188" i="3"/>
  <c r="CY188" i="3"/>
  <c r="CZ188" i="3"/>
  <c r="DB188" i="3" s="1"/>
  <c r="DA188" i="3"/>
  <c r="DC188" i="3"/>
  <c r="A189" i="3"/>
  <c r="CY189" i="3"/>
  <c r="CZ189" i="3"/>
  <c r="DB189" i="3" s="1"/>
  <c r="DA189" i="3"/>
  <c r="DC189" i="3"/>
  <c r="A190" i="3"/>
  <c r="CY190" i="3"/>
  <c r="CZ190" i="3"/>
  <c r="DA190" i="3"/>
  <c r="DB190" i="3"/>
  <c r="DC190" i="3"/>
  <c r="A191" i="3"/>
  <c r="CY191" i="3"/>
  <c r="CZ191" i="3"/>
  <c r="DA191" i="3"/>
  <c r="DB191" i="3"/>
  <c r="DC191" i="3"/>
  <c r="A192" i="3"/>
  <c r="CY192" i="3"/>
  <c r="CZ192" i="3"/>
  <c r="DB192" i="3" s="1"/>
  <c r="DA192" i="3"/>
  <c r="DC192" i="3"/>
  <c r="A193" i="3"/>
  <c r="CY193" i="3"/>
  <c r="CZ193" i="3"/>
  <c r="DB193" i="3" s="1"/>
  <c r="DA193" i="3"/>
  <c r="DC193" i="3"/>
  <c r="A194" i="3"/>
  <c r="CY194" i="3"/>
  <c r="CZ194" i="3"/>
  <c r="DA194" i="3"/>
  <c r="DB194" i="3"/>
  <c r="DC194" i="3"/>
  <c r="A195" i="3"/>
  <c r="CY195" i="3"/>
  <c r="CZ195" i="3"/>
  <c r="DA195" i="3"/>
  <c r="DB195" i="3"/>
  <c r="DC195" i="3"/>
  <c r="A196" i="3"/>
  <c r="CY196" i="3"/>
  <c r="CZ196" i="3"/>
  <c r="DB196" i="3" s="1"/>
  <c r="DA196" i="3"/>
  <c r="DC196" i="3"/>
  <c r="A197" i="3"/>
  <c r="CY197" i="3"/>
  <c r="CZ197" i="3"/>
  <c r="DB197" i="3" s="1"/>
  <c r="DA197" i="3"/>
  <c r="DC197" i="3"/>
  <c r="A198" i="3"/>
  <c r="CY198" i="3"/>
  <c r="CZ198" i="3"/>
  <c r="DA198" i="3"/>
  <c r="DB198" i="3"/>
  <c r="DC198" i="3"/>
  <c r="A199" i="3"/>
  <c r="CY199" i="3"/>
  <c r="CZ199" i="3"/>
  <c r="DA199" i="3"/>
  <c r="DB199" i="3"/>
  <c r="DC199" i="3"/>
  <c r="A200" i="3"/>
  <c r="CY200" i="3"/>
  <c r="CZ200" i="3"/>
  <c r="DB200" i="3" s="1"/>
  <c r="DA200" i="3"/>
  <c r="DC200" i="3"/>
  <c r="A201" i="3"/>
  <c r="CY201" i="3"/>
  <c r="CZ201" i="3"/>
  <c r="DB201" i="3" s="1"/>
  <c r="DA201" i="3"/>
  <c r="DC201" i="3"/>
  <c r="A202" i="3"/>
  <c r="CY202" i="3"/>
  <c r="CZ202" i="3"/>
  <c r="DA202" i="3"/>
  <c r="DB202" i="3"/>
  <c r="DC202" i="3"/>
  <c r="A203" i="3"/>
  <c r="CY203" i="3"/>
  <c r="CZ203" i="3"/>
  <c r="DA203" i="3"/>
  <c r="DB203" i="3"/>
  <c r="DC203" i="3"/>
  <c r="A204" i="3"/>
  <c r="CY204" i="3"/>
  <c r="CZ204" i="3"/>
  <c r="DB204" i="3" s="1"/>
  <c r="DA204" i="3"/>
  <c r="DC204" i="3"/>
  <c r="A205" i="3"/>
  <c r="CY205" i="3"/>
  <c r="CZ205" i="3"/>
  <c r="DB205" i="3" s="1"/>
  <c r="DA205" i="3"/>
  <c r="DC205" i="3"/>
  <c r="A206" i="3"/>
  <c r="CY206" i="3"/>
  <c r="CZ206" i="3"/>
  <c r="DA206" i="3"/>
  <c r="DB206" i="3"/>
  <c r="DC206" i="3"/>
  <c r="A207" i="3"/>
  <c r="CY207" i="3"/>
  <c r="CZ207" i="3"/>
  <c r="DA207" i="3"/>
  <c r="DB207" i="3"/>
  <c r="DC207" i="3"/>
  <c r="A208" i="3"/>
  <c r="CY208" i="3"/>
  <c r="CZ208" i="3"/>
  <c r="DB208" i="3" s="1"/>
  <c r="DA208" i="3"/>
  <c r="DC208" i="3"/>
  <c r="A209" i="3"/>
  <c r="CY209" i="3"/>
  <c r="CZ209" i="3"/>
  <c r="DB209" i="3" s="1"/>
  <c r="DA209" i="3"/>
  <c r="DC209" i="3"/>
  <c r="A210" i="3"/>
  <c r="CY210" i="3"/>
  <c r="CZ210" i="3"/>
  <c r="DA210" i="3"/>
  <c r="DB210" i="3"/>
  <c r="DC210" i="3"/>
  <c r="A211" i="3"/>
  <c r="CY211" i="3"/>
  <c r="CZ211" i="3"/>
  <c r="DA211" i="3"/>
  <c r="DB211" i="3"/>
  <c r="DC211" i="3"/>
  <c r="A212" i="3"/>
  <c r="CY212" i="3"/>
  <c r="CZ212" i="3"/>
  <c r="DB212" i="3" s="1"/>
  <c r="DA212" i="3"/>
  <c r="DC212" i="3"/>
  <c r="A213" i="3"/>
  <c r="CY213" i="3"/>
  <c r="CZ213" i="3"/>
  <c r="DB213" i="3" s="1"/>
  <c r="DA213" i="3"/>
  <c r="DC213" i="3"/>
  <c r="A214" i="3"/>
  <c r="CY214" i="3"/>
  <c r="CZ214" i="3"/>
  <c r="DA214" i="3"/>
  <c r="DB214" i="3"/>
  <c r="DC214" i="3"/>
  <c r="A215" i="3"/>
  <c r="CY215" i="3"/>
  <c r="CZ215" i="3"/>
  <c r="DA215" i="3"/>
  <c r="DB215" i="3"/>
  <c r="DC215" i="3"/>
  <c r="A216" i="3"/>
  <c r="CY216" i="3"/>
  <c r="CZ216" i="3"/>
  <c r="DB216" i="3" s="1"/>
  <c r="DA216" i="3"/>
  <c r="DC216" i="3"/>
  <c r="A217" i="3"/>
  <c r="CY217" i="3"/>
  <c r="CZ217" i="3"/>
  <c r="DB217" i="3" s="1"/>
  <c r="DA217" i="3"/>
  <c r="DC217" i="3"/>
  <c r="A218" i="3"/>
  <c r="CY218" i="3"/>
  <c r="CZ218" i="3"/>
  <c r="DA218" i="3"/>
  <c r="DB218" i="3"/>
  <c r="DC218" i="3"/>
  <c r="A219" i="3"/>
  <c r="CY219" i="3"/>
  <c r="CZ219" i="3"/>
  <c r="DA219" i="3"/>
  <c r="DB219" i="3"/>
  <c r="DC219" i="3"/>
  <c r="A220" i="3"/>
  <c r="CY220" i="3"/>
  <c r="CZ220" i="3"/>
  <c r="DB220" i="3" s="1"/>
  <c r="DA220" i="3"/>
  <c r="DC220" i="3"/>
  <c r="A221" i="3"/>
  <c r="CY221" i="3"/>
  <c r="CZ221" i="3"/>
  <c r="DB221" i="3" s="1"/>
  <c r="DA221" i="3"/>
  <c r="DC221" i="3"/>
  <c r="A222" i="3"/>
  <c r="CY222" i="3"/>
  <c r="CZ222" i="3"/>
  <c r="DA222" i="3"/>
  <c r="DB222" i="3"/>
  <c r="DC222" i="3"/>
  <c r="A223" i="3"/>
  <c r="CY223" i="3"/>
  <c r="CZ223" i="3"/>
  <c r="DA223" i="3"/>
  <c r="DB223" i="3"/>
  <c r="DC223" i="3"/>
  <c r="A224" i="3"/>
  <c r="CY224" i="3"/>
  <c r="CZ224" i="3"/>
  <c r="DB224" i="3" s="1"/>
  <c r="DA224" i="3"/>
  <c r="DC224" i="3"/>
  <c r="A225" i="3"/>
  <c r="CY225" i="3"/>
  <c r="CZ225" i="3"/>
  <c r="DB225" i="3" s="1"/>
  <c r="DA225" i="3"/>
  <c r="DC225" i="3"/>
  <c r="A226" i="3"/>
  <c r="CY226" i="3"/>
  <c r="CZ226" i="3"/>
  <c r="DA226" i="3"/>
  <c r="DB226" i="3"/>
  <c r="DC226" i="3"/>
  <c r="A227" i="3"/>
  <c r="CY227" i="3"/>
  <c r="CZ227" i="3"/>
  <c r="DA227" i="3"/>
  <c r="DB227" i="3"/>
  <c r="DC227" i="3"/>
  <c r="A228" i="3"/>
  <c r="CY228" i="3"/>
  <c r="CZ228" i="3"/>
  <c r="DB228" i="3" s="1"/>
  <c r="DA228" i="3"/>
  <c r="DC228" i="3"/>
  <c r="A229" i="3"/>
  <c r="CY229" i="3"/>
  <c r="CZ229" i="3"/>
  <c r="DB229" i="3" s="1"/>
  <c r="DA229" i="3"/>
  <c r="DC229" i="3"/>
  <c r="A230" i="3"/>
  <c r="CY230" i="3"/>
  <c r="CZ230" i="3"/>
  <c r="DA230" i="3"/>
  <c r="DB230" i="3"/>
  <c r="DC230" i="3"/>
  <c r="A231" i="3"/>
  <c r="CY231" i="3"/>
  <c r="CZ231" i="3"/>
  <c r="DA231" i="3"/>
  <c r="DB231" i="3"/>
  <c r="DC231" i="3"/>
  <c r="A232" i="3"/>
  <c r="CY232" i="3"/>
  <c r="CZ232" i="3"/>
  <c r="DB232" i="3" s="1"/>
  <c r="DA232" i="3"/>
  <c r="DC232" i="3"/>
  <c r="A233" i="3"/>
  <c r="CY233" i="3"/>
  <c r="CZ233" i="3"/>
  <c r="DB233" i="3" s="1"/>
  <c r="DA233" i="3"/>
  <c r="DC233" i="3"/>
  <c r="A234" i="3"/>
  <c r="CX234" i="3"/>
  <c r="CY234" i="3"/>
  <c r="CZ234" i="3"/>
  <c r="DA234" i="3"/>
  <c r="DB234" i="3"/>
  <c r="DC234" i="3"/>
  <c r="A235" i="3"/>
  <c r="CX235" i="3"/>
  <c r="CY235" i="3"/>
  <c r="CZ235" i="3"/>
  <c r="DA235" i="3"/>
  <c r="DB235" i="3"/>
  <c r="DC235" i="3"/>
  <c r="A236" i="3"/>
  <c r="CX236" i="3"/>
  <c r="CY236" i="3"/>
  <c r="CZ236" i="3"/>
  <c r="DB236" i="3" s="1"/>
  <c r="DA236" i="3"/>
  <c r="DC236" i="3"/>
  <c r="A237" i="3"/>
  <c r="CX237" i="3"/>
  <c r="CY237" i="3"/>
  <c r="CZ237" i="3"/>
  <c r="DB237" i="3" s="1"/>
  <c r="DA237" i="3"/>
  <c r="DC237" i="3"/>
  <c r="A238" i="3"/>
  <c r="CX238" i="3"/>
  <c r="CY238" i="3"/>
  <c r="CZ238" i="3"/>
  <c r="DA238" i="3"/>
  <c r="DB238" i="3"/>
  <c r="DC238" i="3"/>
  <c r="A239" i="3"/>
  <c r="CX239" i="3"/>
  <c r="CY239" i="3"/>
  <c r="CZ239" i="3"/>
  <c r="DA239" i="3"/>
  <c r="DB239" i="3"/>
  <c r="DC239" i="3"/>
  <c r="A240" i="3"/>
  <c r="CX240" i="3"/>
  <c r="CY240" i="3"/>
  <c r="CZ240" i="3"/>
  <c r="DB240" i="3" s="1"/>
  <c r="DA240" i="3"/>
  <c r="DC240" i="3"/>
  <c r="A241" i="3"/>
  <c r="CX241" i="3"/>
  <c r="CY241" i="3"/>
  <c r="CZ241" i="3"/>
  <c r="DB241" i="3" s="1"/>
  <c r="DA241" i="3"/>
  <c r="DC241" i="3"/>
  <c r="A242" i="3"/>
  <c r="CX242" i="3"/>
  <c r="CY242" i="3"/>
  <c r="CZ242" i="3"/>
  <c r="DA242" i="3"/>
  <c r="DB242" i="3"/>
  <c r="DC242" i="3"/>
  <c r="A243" i="3"/>
  <c r="CX243" i="3"/>
  <c r="CY243" i="3"/>
  <c r="CZ243" i="3"/>
  <c r="DA243" i="3"/>
  <c r="DB243" i="3"/>
  <c r="DC243" i="3"/>
  <c r="A244" i="3"/>
  <c r="CX244" i="3"/>
  <c r="CY244" i="3"/>
  <c r="CZ244" i="3"/>
  <c r="DB244" i="3" s="1"/>
  <c r="DA244" i="3"/>
  <c r="DC244" i="3"/>
  <c r="A245" i="3"/>
  <c r="CX245" i="3"/>
  <c r="CY245" i="3"/>
  <c r="CZ245" i="3"/>
  <c r="DB245" i="3" s="1"/>
  <c r="DA245" i="3"/>
  <c r="DC245" i="3"/>
  <c r="A246" i="3"/>
  <c r="CY246" i="3"/>
  <c r="CZ246" i="3"/>
  <c r="DA246" i="3"/>
  <c r="DB246" i="3"/>
  <c r="DC246" i="3"/>
  <c r="A247" i="3"/>
  <c r="CY247" i="3"/>
  <c r="CZ247" i="3"/>
  <c r="DA247" i="3"/>
  <c r="DB247" i="3"/>
  <c r="DC247" i="3"/>
  <c r="A248" i="3"/>
  <c r="CY248" i="3"/>
  <c r="CZ248" i="3"/>
  <c r="DB248" i="3" s="1"/>
  <c r="DA248" i="3"/>
  <c r="DC248" i="3"/>
  <c r="A249" i="3"/>
  <c r="CY249" i="3"/>
  <c r="CZ249" i="3"/>
  <c r="DB249" i="3" s="1"/>
  <c r="DA249" i="3"/>
  <c r="DC249" i="3"/>
  <c r="A250" i="3"/>
  <c r="CY250" i="3"/>
  <c r="CZ250" i="3"/>
  <c r="DA250" i="3"/>
  <c r="DB250" i="3"/>
  <c r="DC250" i="3"/>
  <c r="A251" i="3"/>
  <c r="CY251" i="3"/>
  <c r="CZ251" i="3"/>
  <c r="DA251" i="3"/>
  <c r="DB251" i="3"/>
  <c r="DC251" i="3"/>
  <c r="A252" i="3"/>
  <c r="CY252" i="3"/>
  <c r="CZ252" i="3"/>
  <c r="DB252" i="3" s="1"/>
  <c r="DA252" i="3"/>
  <c r="DC252" i="3"/>
  <c r="A253" i="3"/>
  <c r="CY253" i="3"/>
  <c r="CZ253" i="3"/>
  <c r="DB253" i="3" s="1"/>
  <c r="DA253" i="3"/>
  <c r="DC253" i="3"/>
  <c r="A254" i="3"/>
  <c r="CY254" i="3"/>
  <c r="CZ254" i="3"/>
  <c r="DA254" i="3"/>
  <c r="DB254" i="3"/>
  <c r="DC254" i="3"/>
  <c r="A255" i="3"/>
  <c r="CY255" i="3"/>
  <c r="CZ255" i="3"/>
  <c r="DA255" i="3"/>
  <c r="DB255" i="3"/>
  <c r="DC255" i="3"/>
  <c r="A256" i="3"/>
  <c r="CY256" i="3"/>
  <c r="CZ256" i="3"/>
  <c r="DB256" i="3" s="1"/>
  <c r="DA256" i="3"/>
  <c r="DC256" i="3"/>
  <c r="A257" i="3"/>
  <c r="CY257" i="3"/>
  <c r="CZ257" i="3"/>
  <c r="DB257" i="3" s="1"/>
  <c r="DA257" i="3"/>
  <c r="DC257" i="3"/>
  <c r="A258" i="3"/>
  <c r="CY258" i="3"/>
  <c r="CZ258" i="3"/>
  <c r="DA258" i="3"/>
  <c r="DB258" i="3"/>
  <c r="DC258" i="3"/>
  <c r="A259" i="3"/>
  <c r="CY259" i="3"/>
  <c r="CZ259" i="3"/>
  <c r="DA259" i="3"/>
  <c r="DB259" i="3"/>
  <c r="DC259" i="3"/>
  <c r="A260" i="3"/>
  <c r="CY260" i="3"/>
  <c r="CZ260" i="3"/>
  <c r="DB260" i="3" s="1"/>
  <c r="DA260" i="3"/>
  <c r="DC260" i="3"/>
  <c r="A261" i="3"/>
  <c r="CY261" i="3"/>
  <c r="CZ261" i="3"/>
  <c r="DB261" i="3" s="1"/>
  <c r="DA261" i="3"/>
  <c r="DC261" i="3"/>
  <c r="A262" i="3"/>
  <c r="CY262" i="3"/>
  <c r="CZ262" i="3"/>
  <c r="DA262" i="3"/>
  <c r="DB262" i="3"/>
  <c r="DC262" i="3"/>
  <c r="A263" i="3"/>
  <c r="CY263" i="3"/>
  <c r="CZ263" i="3"/>
  <c r="DA263" i="3"/>
  <c r="DB263" i="3"/>
  <c r="DC263" i="3"/>
  <c r="A264" i="3"/>
  <c r="CY264" i="3"/>
  <c r="CZ264" i="3"/>
  <c r="DB264" i="3" s="1"/>
  <c r="DA264" i="3"/>
  <c r="DC264" i="3"/>
  <c r="A265" i="3"/>
  <c r="CY265" i="3"/>
  <c r="CZ265" i="3"/>
  <c r="DB265" i="3" s="1"/>
  <c r="DA265" i="3"/>
  <c r="DC265" i="3"/>
  <c r="A266" i="3"/>
  <c r="CY266" i="3"/>
  <c r="CZ266" i="3"/>
  <c r="DA266" i="3"/>
  <c r="DB266" i="3"/>
  <c r="DC266" i="3"/>
  <c r="A267" i="3"/>
  <c r="CY267" i="3"/>
  <c r="CZ267" i="3"/>
  <c r="DA267" i="3"/>
  <c r="DB267" i="3"/>
  <c r="DC267" i="3"/>
  <c r="A268" i="3"/>
  <c r="CY268" i="3"/>
  <c r="CZ268" i="3"/>
  <c r="DB268" i="3" s="1"/>
  <c r="DA268" i="3"/>
  <c r="DC268" i="3"/>
  <c r="A269" i="3"/>
  <c r="CY269" i="3"/>
  <c r="CZ269" i="3"/>
  <c r="DB269" i="3" s="1"/>
  <c r="DA269" i="3"/>
  <c r="DC269" i="3"/>
  <c r="A270" i="3"/>
  <c r="CY270" i="3"/>
  <c r="CZ270" i="3"/>
  <c r="DA270" i="3"/>
  <c r="DB270" i="3"/>
  <c r="DC270" i="3"/>
  <c r="A271" i="3"/>
  <c r="CY271" i="3"/>
  <c r="CZ271" i="3"/>
  <c r="DA271" i="3"/>
  <c r="DB271" i="3"/>
  <c r="DC271" i="3"/>
  <c r="A272" i="3"/>
  <c r="CY272" i="3"/>
  <c r="CZ272" i="3"/>
  <c r="DB272" i="3" s="1"/>
  <c r="DA272" i="3"/>
  <c r="DC272" i="3"/>
  <c r="A273" i="3"/>
  <c r="CY273" i="3"/>
  <c r="CZ273" i="3"/>
  <c r="DB273" i="3" s="1"/>
  <c r="DA273" i="3"/>
  <c r="DC273" i="3"/>
  <c r="A274" i="3"/>
  <c r="CY274" i="3"/>
  <c r="CZ274" i="3"/>
  <c r="DA274" i="3"/>
  <c r="DB274" i="3"/>
  <c r="DC274" i="3"/>
  <c r="A275" i="3"/>
  <c r="CY275" i="3"/>
  <c r="CZ275" i="3"/>
  <c r="DA275" i="3"/>
  <c r="DB275" i="3"/>
  <c r="DC275" i="3"/>
  <c r="A276" i="3"/>
  <c r="CY276" i="3"/>
  <c r="CZ276" i="3"/>
  <c r="DB276" i="3" s="1"/>
  <c r="DA276" i="3"/>
  <c r="DC276" i="3"/>
  <c r="A277" i="3"/>
  <c r="CY277" i="3"/>
  <c r="CZ277" i="3"/>
  <c r="DB277" i="3" s="1"/>
  <c r="DA277" i="3"/>
  <c r="DC277" i="3"/>
  <c r="A278" i="3"/>
  <c r="CY278" i="3"/>
  <c r="CZ278" i="3"/>
  <c r="DA278" i="3"/>
  <c r="DB278" i="3"/>
  <c r="DC278" i="3"/>
  <c r="A279" i="3"/>
  <c r="CY279" i="3"/>
  <c r="CZ279" i="3"/>
  <c r="DA279" i="3"/>
  <c r="DB279" i="3"/>
  <c r="DC279" i="3"/>
  <c r="A280" i="3"/>
  <c r="CY280" i="3"/>
  <c r="CZ280" i="3"/>
  <c r="DB280" i="3" s="1"/>
  <c r="DA280" i="3"/>
  <c r="DC280" i="3"/>
  <c r="A281" i="3"/>
  <c r="CY281" i="3"/>
  <c r="CZ281" i="3"/>
  <c r="DB281" i="3" s="1"/>
  <c r="DA281" i="3"/>
  <c r="DC281" i="3"/>
  <c r="A282" i="3"/>
  <c r="CY282" i="3"/>
  <c r="CZ282" i="3"/>
  <c r="DA282" i="3"/>
  <c r="DB282" i="3"/>
  <c r="DC282" i="3"/>
  <c r="A283" i="3"/>
  <c r="CY283" i="3"/>
  <c r="CZ283" i="3"/>
  <c r="DA283" i="3"/>
  <c r="DB283" i="3"/>
  <c r="DC283" i="3"/>
  <c r="A284" i="3"/>
  <c r="CY284" i="3"/>
  <c r="CZ284" i="3"/>
  <c r="DB284" i="3" s="1"/>
  <c r="DA284" i="3"/>
  <c r="DC284" i="3"/>
  <c r="A285" i="3"/>
  <c r="CY285" i="3"/>
  <c r="CZ285" i="3"/>
  <c r="DB285" i="3" s="1"/>
  <c r="DA285" i="3"/>
  <c r="DC285" i="3"/>
  <c r="A286" i="3"/>
  <c r="CY286" i="3"/>
  <c r="CZ286" i="3"/>
  <c r="DA286" i="3"/>
  <c r="DB286" i="3"/>
  <c r="DC286" i="3"/>
  <c r="A287" i="3"/>
  <c r="CY287" i="3"/>
  <c r="CZ287" i="3"/>
  <c r="DA287" i="3"/>
  <c r="DB287" i="3"/>
  <c r="DC287" i="3"/>
  <c r="A288" i="3"/>
  <c r="CY288" i="3"/>
  <c r="CZ288" i="3"/>
  <c r="DB288" i="3" s="1"/>
  <c r="DA288" i="3"/>
  <c r="DC288" i="3"/>
  <c r="A289" i="3"/>
  <c r="CY289" i="3"/>
  <c r="CZ289" i="3"/>
  <c r="DB289" i="3" s="1"/>
  <c r="DA289" i="3"/>
  <c r="DC289" i="3"/>
  <c r="A290" i="3"/>
  <c r="CY290" i="3"/>
  <c r="CZ290" i="3"/>
  <c r="DA290" i="3"/>
  <c r="DB290" i="3"/>
  <c r="DC290" i="3"/>
  <c r="A291" i="3"/>
  <c r="CY291" i="3"/>
  <c r="CZ291" i="3"/>
  <c r="DA291" i="3"/>
  <c r="DB291" i="3"/>
  <c r="DC291" i="3"/>
  <c r="A292" i="3"/>
  <c r="CY292" i="3"/>
  <c r="CZ292" i="3"/>
  <c r="DB292" i="3" s="1"/>
  <c r="DA292" i="3"/>
  <c r="DC292" i="3"/>
  <c r="A293" i="3"/>
  <c r="CY293" i="3"/>
  <c r="CZ293" i="3"/>
  <c r="DB293" i="3" s="1"/>
  <c r="DA293" i="3"/>
  <c r="DC293" i="3"/>
  <c r="A294" i="3"/>
  <c r="CY294" i="3"/>
  <c r="CZ294" i="3"/>
  <c r="DA294" i="3"/>
  <c r="DB294" i="3"/>
  <c r="DC294" i="3"/>
  <c r="A295" i="3"/>
  <c r="CY295" i="3"/>
  <c r="CZ295" i="3"/>
  <c r="DA295" i="3"/>
  <c r="DB295" i="3"/>
  <c r="DC295" i="3"/>
  <c r="A296" i="3"/>
  <c r="CY296" i="3"/>
  <c r="CZ296" i="3"/>
  <c r="DB296" i="3" s="1"/>
  <c r="DA296" i="3"/>
  <c r="DC296" i="3"/>
  <c r="A297" i="3"/>
  <c r="CY297" i="3"/>
  <c r="CZ297" i="3"/>
  <c r="DB297" i="3" s="1"/>
  <c r="DA297" i="3"/>
  <c r="DC297" i="3"/>
  <c r="A298" i="3"/>
  <c r="CY298" i="3"/>
  <c r="CZ298" i="3"/>
  <c r="DA298" i="3"/>
  <c r="DB298" i="3"/>
  <c r="DC298" i="3"/>
  <c r="A299" i="3"/>
  <c r="CY299" i="3"/>
  <c r="CZ299" i="3"/>
  <c r="DA299" i="3"/>
  <c r="DB299" i="3"/>
  <c r="DC299" i="3"/>
  <c r="A300" i="3"/>
  <c r="CY300" i="3"/>
  <c r="CZ300" i="3"/>
  <c r="DB300" i="3" s="1"/>
  <c r="DA300" i="3"/>
  <c r="DC300" i="3"/>
  <c r="A301" i="3"/>
  <c r="CY301" i="3"/>
  <c r="CZ301" i="3"/>
  <c r="DB301" i="3" s="1"/>
  <c r="DA301" i="3"/>
  <c r="DC301" i="3"/>
  <c r="A302" i="3"/>
  <c r="CY302" i="3"/>
  <c r="CZ302" i="3"/>
  <c r="DA302" i="3"/>
  <c r="DB302" i="3"/>
  <c r="DC302" i="3"/>
  <c r="A303" i="3"/>
  <c r="CY303" i="3"/>
  <c r="CZ303" i="3"/>
  <c r="DA303" i="3"/>
  <c r="DB303" i="3"/>
  <c r="DC303" i="3"/>
  <c r="A304" i="3"/>
  <c r="CY304" i="3"/>
  <c r="CZ304" i="3"/>
  <c r="DB304" i="3" s="1"/>
  <c r="DA304" i="3"/>
  <c r="DC304" i="3"/>
  <c r="A305" i="3"/>
  <c r="CY305" i="3"/>
  <c r="CZ305" i="3"/>
  <c r="DB305" i="3" s="1"/>
  <c r="DA305" i="3"/>
  <c r="DC305" i="3"/>
  <c r="A306" i="3"/>
  <c r="CY306" i="3"/>
  <c r="CZ306" i="3"/>
  <c r="DA306" i="3"/>
  <c r="DB306" i="3"/>
  <c r="DC306" i="3"/>
  <c r="A307" i="3"/>
  <c r="CY307" i="3"/>
  <c r="CZ307" i="3"/>
  <c r="DA307" i="3"/>
  <c r="DB307" i="3"/>
  <c r="DC307" i="3"/>
  <c r="A308" i="3"/>
  <c r="CY308" i="3"/>
  <c r="CZ308" i="3"/>
  <c r="DB308" i="3" s="1"/>
  <c r="DA308" i="3"/>
  <c r="DC308" i="3"/>
  <c r="A309" i="3"/>
  <c r="CY309" i="3"/>
  <c r="CZ309" i="3"/>
  <c r="DB309" i="3" s="1"/>
  <c r="DA309" i="3"/>
  <c r="DC309" i="3"/>
  <c r="A310" i="3"/>
  <c r="CY310" i="3"/>
  <c r="CZ310" i="3"/>
  <c r="DA310" i="3"/>
  <c r="DB310" i="3"/>
  <c r="DC310" i="3"/>
  <c r="A311" i="3"/>
  <c r="CY311" i="3"/>
  <c r="CZ311" i="3"/>
  <c r="DA311" i="3"/>
  <c r="DB311" i="3"/>
  <c r="DC311" i="3"/>
  <c r="A312" i="3"/>
  <c r="CY312" i="3"/>
  <c r="CZ312" i="3"/>
  <c r="DB312" i="3" s="1"/>
  <c r="DA312" i="3"/>
  <c r="DC312" i="3"/>
  <c r="A313" i="3"/>
  <c r="CY313" i="3"/>
  <c r="CZ313" i="3"/>
  <c r="DB313" i="3" s="1"/>
  <c r="DA313" i="3"/>
  <c r="DC313" i="3"/>
  <c r="A314" i="3"/>
  <c r="CY314" i="3"/>
  <c r="CZ314" i="3"/>
  <c r="DA314" i="3"/>
  <c r="DB314" i="3"/>
  <c r="DC314" i="3"/>
  <c r="A315" i="3"/>
  <c r="CY315" i="3"/>
  <c r="CZ315" i="3"/>
  <c r="DA315" i="3"/>
  <c r="DB315" i="3"/>
  <c r="DC315" i="3"/>
  <c r="A316" i="3"/>
  <c r="CY316" i="3"/>
  <c r="CZ316" i="3"/>
  <c r="DB316" i="3" s="1"/>
  <c r="DA316" i="3"/>
  <c r="DC316" i="3"/>
  <c r="A317" i="3"/>
  <c r="CY317" i="3"/>
  <c r="CZ317" i="3"/>
  <c r="DB317" i="3" s="1"/>
  <c r="DA317" i="3"/>
  <c r="DC317" i="3"/>
  <c r="A318" i="3"/>
  <c r="CY318" i="3"/>
  <c r="CZ318" i="3"/>
  <c r="DA318" i="3"/>
  <c r="DB318" i="3"/>
  <c r="DC318" i="3"/>
  <c r="A319" i="3"/>
  <c r="CY319" i="3"/>
  <c r="CZ319" i="3"/>
  <c r="DA319" i="3"/>
  <c r="DB319" i="3"/>
  <c r="DC319" i="3"/>
  <c r="A320" i="3"/>
  <c r="CY320" i="3"/>
  <c r="CZ320" i="3"/>
  <c r="DB320" i="3" s="1"/>
  <c r="DA320" i="3"/>
  <c r="DC320" i="3"/>
  <c r="A321" i="3"/>
  <c r="CY321" i="3"/>
  <c r="CZ321" i="3"/>
  <c r="DB321" i="3" s="1"/>
  <c r="DA321" i="3"/>
  <c r="DC321" i="3"/>
  <c r="A322" i="3"/>
  <c r="CY322" i="3"/>
  <c r="CZ322" i="3"/>
  <c r="DA322" i="3"/>
  <c r="DB322" i="3"/>
  <c r="DC322" i="3"/>
  <c r="A323" i="3"/>
  <c r="CY323" i="3"/>
  <c r="CZ323" i="3"/>
  <c r="DA323" i="3"/>
  <c r="DB323" i="3"/>
  <c r="DC323" i="3"/>
  <c r="A324" i="3"/>
  <c r="CY324" i="3"/>
  <c r="CZ324" i="3"/>
  <c r="DB324" i="3" s="1"/>
  <c r="DA324" i="3"/>
  <c r="DC324" i="3"/>
  <c r="A325" i="3"/>
  <c r="CY325" i="3"/>
  <c r="CZ325" i="3"/>
  <c r="DB325" i="3" s="1"/>
  <c r="DA325" i="3"/>
  <c r="DC325" i="3"/>
  <c r="A326" i="3"/>
  <c r="CY326" i="3"/>
  <c r="CZ326" i="3"/>
  <c r="DA326" i="3"/>
  <c r="DB326" i="3"/>
  <c r="DC326" i="3"/>
  <c r="A327" i="3"/>
  <c r="CY327" i="3"/>
  <c r="CZ327" i="3"/>
  <c r="DA327" i="3"/>
  <c r="DB327" i="3"/>
  <c r="DC327" i="3"/>
  <c r="A328" i="3"/>
  <c r="CY328" i="3"/>
  <c r="CZ328" i="3"/>
  <c r="DB328" i="3" s="1"/>
  <c r="DA328" i="3"/>
  <c r="DC328" i="3"/>
  <c r="A329" i="3"/>
  <c r="CY329" i="3"/>
  <c r="CZ329" i="3"/>
  <c r="DB329" i="3" s="1"/>
  <c r="DA329" i="3"/>
  <c r="DC329" i="3"/>
  <c r="A330" i="3"/>
  <c r="CX330" i="3"/>
  <c r="CY330" i="3"/>
  <c r="CZ330" i="3"/>
  <c r="DA330" i="3"/>
  <c r="DB330" i="3"/>
  <c r="DC330" i="3"/>
  <c r="A331" i="3"/>
  <c r="CX331" i="3"/>
  <c r="CY331" i="3"/>
  <c r="CZ331" i="3"/>
  <c r="DA331" i="3"/>
  <c r="DB331" i="3"/>
  <c r="DC331" i="3"/>
  <c r="A332" i="3"/>
  <c r="CX332" i="3"/>
  <c r="CY332" i="3"/>
  <c r="CZ332" i="3"/>
  <c r="DB332" i="3" s="1"/>
  <c r="DA332" i="3"/>
  <c r="DC332" i="3"/>
  <c r="A333" i="3"/>
  <c r="CX333" i="3"/>
  <c r="CY333" i="3"/>
  <c r="CZ333" i="3"/>
  <c r="DB333" i="3" s="1"/>
  <c r="DA333" i="3"/>
  <c r="DC333" i="3"/>
  <c r="A334" i="3"/>
  <c r="CX334" i="3"/>
  <c r="CY334" i="3"/>
  <c r="CZ334" i="3"/>
  <c r="DA334" i="3"/>
  <c r="DB334" i="3"/>
  <c r="DC334" i="3"/>
  <c r="A335" i="3"/>
  <c r="CX335" i="3"/>
  <c r="CY335" i="3"/>
  <c r="CZ335" i="3"/>
  <c r="DA335" i="3"/>
  <c r="DB335" i="3"/>
  <c r="DC335" i="3"/>
  <c r="A336" i="3"/>
  <c r="CX336" i="3"/>
  <c r="CY336" i="3"/>
  <c r="CZ336" i="3"/>
  <c r="DB336" i="3" s="1"/>
  <c r="DA336" i="3"/>
  <c r="DC336" i="3"/>
  <c r="A337" i="3"/>
  <c r="CX337" i="3"/>
  <c r="CY337" i="3"/>
  <c r="CZ337" i="3"/>
  <c r="DB337" i="3" s="1"/>
  <c r="DA337" i="3"/>
  <c r="DC337" i="3"/>
  <c r="A338" i="3"/>
  <c r="CX338" i="3"/>
  <c r="CY338" i="3"/>
  <c r="CZ338" i="3"/>
  <c r="DA338" i="3"/>
  <c r="DB338" i="3"/>
  <c r="DC338" i="3"/>
  <c r="A339" i="3"/>
  <c r="CX339" i="3"/>
  <c r="CY339" i="3"/>
  <c r="CZ339" i="3"/>
  <c r="DA339" i="3"/>
  <c r="DB339" i="3"/>
  <c r="DC339" i="3"/>
  <c r="A340" i="3"/>
  <c r="CX340" i="3"/>
  <c r="CY340" i="3"/>
  <c r="CZ340" i="3"/>
  <c r="DB340" i="3" s="1"/>
  <c r="DA340" i="3"/>
  <c r="DC340" i="3"/>
  <c r="A341" i="3"/>
  <c r="CX341" i="3"/>
  <c r="CY341" i="3"/>
  <c r="CZ341" i="3"/>
  <c r="DB341" i="3" s="1"/>
  <c r="DA341" i="3"/>
  <c r="DC341" i="3"/>
  <c r="A342" i="3"/>
  <c r="CX342" i="3"/>
  <c r="CY342" i="3"/>
  <c r="CZ342" i="3"/>
  <c r="DA342" i="3"/>
  <c r="DB342" i="3"/>
  <c r="DC342" i="3"/>
  <c r="A343" i="3"/>
  <c r="CX343" i="3"/>
  <c r="CY343" i="3"/>
  <c r="CZ343" i="3"/>
  <c r="DA343" i="3"/>
  <c r="DB343" i="3"/>
  <c r="DC343" i="3"/>
  <c r="A344" i="3"/>
  <c r="CX344" i="3"/>
  <c r="CY344" i="3"/>
  <c r="CZ344" i="3"/>
  <c r="DB344" i="3" s="1"/>
  <c r="DA344" i="3"/>
  <c r="DC344" i="3"/>
  <c r="A345" i="3"/>
  <c r="CX345" i="3"/>
  <c r="CY345" i="3"/>
  <c r="CZ345" i="3"/>
  <c r="DB345" i="3" s="1"/>
  <c r="DA345" i="3"/>
  <c r="DC345" i="3"/>
  <c r="A346" i="3"/>
  <c r="CX346" i="3"/>
  <c r="CY346" i="3"/>
  <c r="CZ346" i="3"/>
  <c r="DA346" i="3"/>
  <c r="DB346" i="3"/>
  <c r="DC346" i="3"/>
  <c r="A347" i="3"/>
  <c r="CX347" i="3"/>
  <c r="CY347" i="3"/>
  <c r="CZ347" i="3"/>
  <c r="DA347" i="3"/>
  <c r="DB347" i="3"/>
  <c r="DC347" i="3"/>
  <c r="A348" i="3"/>
  <c r="CX348" i="3"/>
  <c r="CY348" i="3"/>
  <c r="CZ348" i="3"/>
  <c r="DB348" i="3" s="1"/>
  <c r="DA348" i="3"/>
  <c r="DC348" i="3"/>
  <c r="A349" i="3"/>
  <c r="CX349" i="3"/>
  <c r="CY349" i="3"/>
  <c r="CZ349" i="3"/>
  <c r="DB349" i="3" s="1"/>
  <c r="DA349" i="3"/>
  <c r="DC349" i="3"/>
  <c r="A350" i="3"/>
  <c r="CX350" i="3"/>
  <c r="CY350" i="3"/>
  <c r="CZ350" i="3"/>
  <c r="DA350" i="3"/>
  <c r="DB350" i="3"/>
  <c r="DC350" i="3"/>
  <c r="A351" i="3"/>
  <c r="CX351" i="3"/>
  <c r="CY351" i="3"/>
  <c r="CZ351" i="3"/>
  <c r="DA351" i="3"/>
  <c r="DB351" i="3"/>
  <c r="DC351" i="3"/>
  <c r="A352" i="3"/>
  <c r="CX352" i="3"/>
  <c r="CY352" i="3"/>
  <c r="CZ352" i="3"/>
  <c r="DB352" i="3" s="1"/>
  <c r="DA352" i="3"/>
  <c r="DC352" i="3"/>
  <c r="A353" i="3"/>
  <c r="CX353" i="3"/>
  <c r="CY353" i="3"/>
  <c r="CZ353" i="3"/>
  <c r="DB353" i="3" s="1"/>
  <c r="DA353" i="3"/>
  <c r="DC353" i="3"/>
  <c r="A354" i="3"/>
  <c r="CX354" i="3"/>
  <c r="CY354" i="3"/>
  <c r="CZ354" i="3"/>
  <c r="DA354" i="3"/>
  <c r="DB354" i="3"/>
  <c r="DC354" i="3"/>
  <c r="A355" i="3"/>
  <c r="CX355" i="3"/>
  <c r="CY355" i="3"/>
  <c r="CZ355" i="3"/>
  <c r="DA355" i="3"/>
  <c r="DB355" i="3"/>
  <c r="DC355" i="3"/>
  <c r="A356" i="3"/>
  <c r="CX356" i="3"/>
  <c r="CY356" i="3"/>
  <c r="CZ356" i="3"/>
  <c r="DB356" i="3" s="1"/>
  <c r="DA356" i="3"/>
  <c r="DC356" i="3"/>
  <c r="A357" i="3"/>
  <c r="CX357" i="3"/>
  <c r="CY357" i="3"/>
  <c r="CZ357" i="3"/>
  <c r="DB357" i="3" s="1"/>
  <c r="DA357" i="3"/>
  <c r="DC357" i="3"/>
  <c r="A358" i="3"/>
  <c r="CX358" i="3"/>
  <c r="CY358" i="3"/>
  <c r="CZ358" i="3"/>
  <c r="DA358" i="3"/>
  <c r="DB358" i="3"/>
  <c r="DC358" i="3"/>
  <c r="A359" i="3"/>
  <c r="CX359" i="3"/>
  <c r="CY359" i="3"/>
  <c r="CZ359" i="3"/>
  <c r="DA359" i="3"/>
  <c r="DB359" i="3"/>
  <c r="DC359" i="3"/>
  <c r="A360" i="3"/>
  <c r="CX360" i="3"/>
  <c r="CY360" i="3"/>
  <c r="CZ360" i="3"/>
  <c r="DB360" i="3" s="1"/>
  <c r="DA360" i="3"/>
  <c r="DC360" i="3"/>
  <c r="A361" i="3"/>
  <c r="CX361" i="3"/>
  <c r="CY361" i="3"/>
  <c r="CZ361" i="3"/>
  <c r="DB361" i="3" s="1"/>
  <c r="DA361" i="3"/>
  <c r="DC361" i="3"/>
  <c r="A362" i="3"/>
  <c r="CY362" i="3"/>
  <c r="CZ362" i="3"/>
  <c r="DA362" i="3"/>
  <c r="DB362" i="3"/>
  <c r="DC362" i="3"/>
  <c r="A363" i="3"/>
  <c r="CY363" i="3"/>
  <c r="CZ363" i="3"/>
  <c r="DA363" i="3"/>
  <c r="DB363" i="3"/>
  <c r="DC363" i="3"/>
  <c r="A364" i="3"/>
  <c r="CY364" i="3"/>
  <c r="CZ364" i="3"/>
  <c r="DB364" i="3" s="1"/>
  <c r="DA364" i="3"/>
  <c r="DC364" i="3"/>
  <c r="A365" i="3"/>
  <c r="CY365" i="3"/>
  <c r="CZ365" i="3"/>
  <c r="DA365" i="3"/>
  <c r="DB365" i="3"/>
  <c r="DC365" i="3"/>
  <c r="A366" i="3"/>
  <c r="CY366" i="3"/>
  <c r="CZ366" i="3"/>
  <c r="DA366" i="3"/>
  <c r="DB366" i="3"/>
  <c r="DC366" i="3"/>
  <c r="A367" i="3"/>
  <c r="CY367" i="3"/>
  <c r="CZ367" i="3"/>
  <c r="DB367" i="3" s="1"/>
  <c r="DA367" i="3"/>
  <c r="DC367" i="3"/>
  <c r="A368" i="3"/>
  <c r="CY368" i="3"/>
  <c r="CZ368" i="3"/>
  <c r="DB368" i="3" s="1"/>
  <c r="DA368" i="3"/>
  <c r="DC368" i="3"/>
  <c r="A369" i="3"/>
  <c r="CY369" i="3"/>
  <c r="CZ369" i="3"/>
  <c r="DB369" i="3" s="1"/>
  <c r="DA369" i="3"/>
  <c r="DC369" i="3"/>
  <c r="A370" i="3"/>
  <c r="CY370" i="3"/>
  <c r="CZ370" i="3"/>
  <c r="DA370" i="3"/>
  <c r="DB370" i="3"/>
  <c r="DC370" i="3"/>
  <c r="A371" i="3"/>
  <c r="CY371" i="3"/>
  <c r="CZ371" i="3"/>
  <c r="DA371" i="3"/>
  <c r="DB371" i="3"/>
  <c r="DC371" i="3"/>
  <c r="A372" i="3"/>
  <c r="CY372" i="3"/>
  <c r="CZ372" i="3"/>
  <c r="DB372" i="3" s="1"/>
  <c r="DA372" i="3"/>
  <c r="DC372" i="3"/>
  <c r="A373" i="3"/>
  <c r="CY373" i="3"/>
  <c r="CZ373" i="3"/>
  <c r="DB373" i="3" s="1"/>
  <c r="DA373" i="3"/>
  <c r="DC373" i="3"/>
  <c r="A374" i="3"/>
  <c r="CY374" i="3"/>
  <c r="CZ374" i="3"/>
  <c r="DA374" i="3"/>
  <c r="DB374" i="3"/>
  <c r="DC374" i="3"/>
  <c r="A375" i="3"/>
  <c r="CY375" i="3"/>
  <c r="CZ375" i="3"/>
  <c r="DA375" i="3"/>
  <c r="DB375" i="3"/>
  <c r="DC375" i="3"/>
  <c r="A376" i="3"/>
  <c r="CY376" i="3"/>
  <c r="CZ376" i="3"/>
  <c r="DB376" i="3" s="1"/>
  <c r="DA376" i="3"/>
  <c r="DC376" i="3"/>
  <c r="A377" i="3"/>
  <c r="CY377" i="3"/>
  <c r="CZ377" i="3"/>
  <c r="DB377" i="3" s="1"/>
  <c r="DA377" i="3"/>
  <c r="DC377" i="3"/>
  <c r="A378" i="3"/>
  <c r="CY378" i="3"/>
  <c r="CZ378" i="3"/>
  <c r="DA378" i="3"/>
  <c r="DB378" i="3"/>
  <c r="DC378" i="3"/>
  <c r="A379" i="3"/>
  <c r="CY379" i="3"/>
  <c r="CZ379" i="3"/>
  <c r="DA379" i="3"/>
  <c r="DB379" i="3"/>
  <c r="DC379" i="3"/>
  <c r="A380" i="3"/>
  <c r="CY380" i="3"/>
  <c r="CZ380" i="3"/>
  <c r="DB380" i="3" s="1"/>
  <c r="DA380" i="3"/>
  <c r="DC380" i="3"/>
  <c r="A381" i="3"/>
  <c r="CY381" i="3"/>
  <c r="CZ381" i="3"/>
  <c r="DB381" i="3" s="1"/>
  <c r="DA381" i="3"/>
  <c r="DC381" i="3"/>
  <c r="A382" i="3"/>
  <c r="CY382" i="3"/>
  <c r="CZ382" i="3"/>
  <c r="DA382" i="3"/>
  <c r="DB382" i="3"/>
  <c r="DC382" i="3"/>
  <c r="A383" i="3"/>
  <c r="CY383" i="3"/>
  <c r="CZ383" i="3"/>
  <c r="DA383" i="3"/>
  <c r="DB383" i="3"/>
  <c r="DC383" i="3"/>
  <c r="A384" i="3"/>
  <c r="CY384" i="3"/>
  <c r="CZ384" i="3"/>
  <c r="DB384" i="3" s="1"/>
  <c r="DA384" i="3"/>
  <c r="DC384" i="3"/>
  <c r="A385" i="3"/>
  <c r="CY385" i="3"/>
  <c r="CZ385" i="3"/>
  <c r="DB385" i="3" s="1"/>
  <c r="DA385" i="3"/>
  <c r="DC385" i="3"/>
  <c r="A386" i="3"/>
  <c r="CY386" i="3"/>
  <c r="CZ386" i="3"/>
  <c r="DA386" i="3"/>
  <c r="DB386" i="3"/>
  <c r="DC386" i="3"/>
  <c r="A387" i="3"/>
  <c r="CY387" i="3"/>
  <c r="CZ387" i="3"/>
  <c r="DA387" i="3"/>
  <c r="DB387" i="3"/>
  <c r="DC387" i="3"/>
  <c r="A388" i="3"/>
  <c r="CY388" i="3"/>
  <c r="CZ388" i="3"/>
  <c r="DB388" i="3" s="1"/>
  <c r="DA388" i="3"/>
  <c r="DC388" i="3"/>
  <c r="A389" i="3"/>
  <c r="CY389" i="3"/>
  <c r="CZ389" i="3"/>
  <c r="DB389" i="3" s="1"/>
  <c r="DA389" i="3"/>
  <c r="DC389" i="3"/>
  <c r="A390" i="3"/>
  <c r="CY390" i="3"/>
  <c r="CZ390" i="3"/>
  <c r="DA390" i="3"/>
  <c r="DB390" i="3"/>
  <c r="DC390" i="3"/>
  <c r="A391" i="3"/>
  <c r="CY391" i="3"/>
  <c r="CZ391" i="3"/>
  <c r="DA391" i="3"/>
  <c r="DB391" i="3"/>
  <c r="DC391" i="3"/>
  <c r="A392" i="3"/>
  <c r="CX392" i="3"/>
  <c r="CY392" i="3"/>
  <c r="CZ392" i="3"/>
  <c r="DB392" i="3" s="1"/>
  <c r="DA392" i="3"/>
  <c r="DC392" i="3"/>
  <c r="A393" i="3"/>
  <c r="CX393" i="3"/>
  <c r="CY393" i="3"/>
  <c r="CZ393" i="3"/>
  <c r="DB393" i="3" s="1"/>
  <c r="DA393" i="3"/>
  <c r="DC393" i="3"/>
  <c r="A394" i="3"/>
  <c r="CX394" i="3"/>
  <c r="CY394" i="3"/>
  <c r="CZ394" i="3"/>
  <c r="DA394" i="3"/>
  <c r="DB394" i="3"/>
  <c r="DC394" i="3"/>
  <c r="A395" i="3"/>
  <c r="CX395" i="3"/>
  <c r="CY395" i="3"/>
  <c r="CZ395" i="3"/>
  <c r="DA395" i="3"/>
  <c r="DB395" i="3"/>
  <c r="DC395" i="3"/>
  <c r="A396" i="3"/>
  <c r="CX396" i="3"/>
  <c r="CY396" i="3"/>
  <c r="CZ396" i="3"/>
  <c r="DB396" i="3" s="1"/>
  <c r="DA396" i="3"/>
  <c r="DC396" i="3"/>
  <c r="A397" i="3"/>
  <c r="CX397" i="3"/>
  <c r="CY397" i="3"/>
  <c r="CZ397" i="3"/>
  <c r="DB397" i="3" s="1"/>
  <c r="DA397" i="3"/>
  <c r="DC397" i="3"/>
  <c r="A398" i="3"/>
  <c r="CX398" i="3"/>
  <c r="CY398" i="3"/>
  <c r="CZ398" i="3"/>
  <c r="DA398" i="3"/>
  <c r="DB398" i="3"/>
  <c r="DC398" i="3"/>
  <c r="A399" i="3"/>
  <c r="CX399" i="3"/>
  <c r="CY399" i="3"/>
  <c r="CZ399" i="3"/>
  <c r="DA399" i="3"/>
  <c r="DB399" i="3"/>
  <c r="DC399" i="3"/>
  <c r="A400" i="3"/>
  <c r="CX400" i="3"/>
  <c r="CY400" i="3"/>
  <c r="CZ400" i="3"/>
  <c r="DB400" i="3" s="1"/>
  <c r="DA400" i="3"/>
  <c r="DC400" i="3"/>
  <c r="A401" i="3"/>
  <c r="CX401" i="3"/>
  <c r="CY401" i="3"/>
  <c r="CZ401" i="3"/>
  <c r="DB401" i="3" s="1"/>
  <c r="DA401" i="3"/>
  <c r="DC401" i="3"/>
  <c r="A402" i="3"/>
  <c r="CX402" i="3"/>
  <c r="CY402" i="3"/>
  <c r="CZ402" i="3"/>
  <c r="DA402" i="3"/>
  <c r="DB402" i="3"/>
  <c r="DC402" i="3"/>
  <c r="A403" i="3"/>
  <c r="CX403" i="3"/>
  <c r="CY403" i="3"/>
  <c r="CZ403" i="3"/>
  <c r="DA403" i="3"/>
  <c r="DB403" i="3"/>
  <c r="DC403" i="3"/>
  <c r="A404" i="3"/>
  <c r="CX404" i="3"/>
  <c r="CY404" i="3"/>
  <c r="CZ404" i="3"/>
  <c r="DB404" i="3" s="1"/>
  <c r="DA404" i="3"/>
  <c r="DC404" i="3"/>
  <c r="A405" i="3"/>
  <c r="CX405" i="3"/>
  <c r="CY405" i="3"/>
  <c r="CZ405" i="3"/>
  <c r="DB405" i="3" s="1"/>
  <c r="DA405" i="3"/>
  <c r="DC405" i="3"/>
  <c r="A406" i="3"/>
  <c r="CX406" i="3"/>
  <c r="CY406" i="3"/>
  <c r="CZ406" i="3"/>
  <c r="DA406" i="3"/>
  <c r="DB406" i="3"/>
  <c r="DC406" i="3"/>
  <c r="A407" i="3"/>
  <c r="CX407" i="3"/>
  <c r="CY407" i="3"/>
  <c r="CZ407" i="3"/>
  <c r="DA407" i="3"/>
  <c r="DB407" i="3"/>
  <c r="DC407" i="3"/>
  <c r="A408" i="3"/>
  <c r="CX408" i="3"/>
  <c r="CY408" i="3"/>
  <c r="CZ408" i="3"/>
  <c r="DB408" i="3" s="1"/>
  <c r="DA408" i="3"/>
  <c r="DC408" i="3"/>
  <c r="A409" i="3"/>
  <c r="CX409" i="3"/>
  <c r="CY409" i="3"/>
  <c r="CZ409" i="3"/>
  <c r="DB409" i="3" s="1"/>
  <c r="DA409" i="3"/>
  <c r="DC409" i="3"/>
  <c r="A410" i="3"/>
  <c r="CX410" i="3"/>
  <c r="CY410" i="3"/>
  <c r="CZ410" i="3"/>
  <c r="DA410" i="3"/>
  <c r="DB410" i="3"/>
  <c r="DC410" i="3"/>
  <c r="A411" i="3"/>
  <c r="CX411" i="3"/>
  <c r="CY411" i="3"/>
  <c r="CZ411" i="3"/>
  <c r="DA411" i="3"/>
  <c r="DB411" i="3"/>
  <c r="DC411" i="3"/>
  <c r="A412" i="3"/>
  <c r="CX412" i="3"/>
  <c r="CY412" i="3"/>
  <c r="CZ412" i="3"/>
  <c r="DB412" i="3" s="1"/>
  <c r="DA412" i="3"/>
  <c r="DC412" i="3"/>
  <c r="A413" i="3"/>
  <c r="CX413" i="3"/>
  <c r="CY413" i="3"/>
  <c r="CZ413" i="3"/>
  <c r="DB413" i="3" s="1"/>
  <c r="DA413" i="3"/>
  <c r="DC413" i="3"/>
  <c r="A414" i="3"/>
  <c r="CX414" i="3"/>
  <c r="CY414" i="3"/>
  <c r="CZ414" i="3"/>
  <c r="DA414" i="3"/>
  <c r="DB414" i="3"/>
  <c r="DC414" i="3"/>
  <c r="A415" i="3"/>
  <c r="CX415" i="3"/>
  <c r="CY415" i="3"/>
  <c r="CZ415" i="3"/>
  <c r="DA415" i="3"/>
  <c r="DB415" i="3"/>
  <c r="DC415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R28" i="1"/>
  <c r="GK28" i="1" s="1"/>
  <c r="AB28" i="1"/>
  <c r="AC28" i="1"/>
  <c r="AE28" i="1"/>
  <c r="AD28" i="1" s="1"/>
  <c r="CR28" i="1" s="1"/>
  <c r="Q28" i="1" s="1"/>
  <c r="AF28" i="1"/>
  <c r="CT28" i="1" s="1"/>
  <c r="S28" i="1" s="1"/>
  <c r="AG28" i="1"/>
  <c r="AH28" i="1"/>
  <c r="AI28" i="1"/>
  <c r="AJ28" i="1"/>
  <c r="CX28" i="1" s="1"/>
  <c r="W28" i="1" s="1"/>
  <c r="CQ28" i="1"/>
  <c r="P28" i="1" s="1"/>
  <c r="CP28" i="1" s="1"/>
  <c r="O28" i="1" s="1"/>
  <c r="CS28" i="1"/>
  <c r="CU28" i="1"/>
  <c r="T28" i="1" s="1"/>
  <c r="CV28" i="1"/>
  <c r="U28" i="1" s="1"/>
  <c r="CW28" i="1"/>
  <c r="V28" i="1" s="1"/>
  <c r="FR28" i="1"/>
  <c r="GL28" i="1"/>
  <c r="GO28" i="1"/>
  <c r="GP28" i="1"/>
  <c r="GV28" i="1"/>
  <c r="HC28" i="1" s="1"/>
  <c r="GX28" i="1" s="1"/>
  <c r="C29" i="1"/>
  <c r="D29" i="1"/>
  <c r="I29" i="1"/>
  <c r="V29" i="1"/>
  <c r="AC29" i="1"/>
  <c r="AE29" i="1"/>
  <c r="AD29" i="1" s="1"/>
  <c r="CR29" i="1" s="1"/>
  <c r="AF29" i="1"/>
  <c r="CT29" i="1" s="1"/>
  <c r="S29" i="1" s="1"/>
  <c r="AG29" i="1"/>
  <c r="AH29" i="1"/>
  <c r="AI29" i="1"/>
  <c r="AJ29" i="1"/>
  <c r="CX29" i="1" s="1"/>
  <c r="W29" i="1" s="1"/>
  <c r="CQ29" i="1"/>
  <c r="CS29" i="1"/>
  <c r="R29" i="1" s="1"/>
  <c r="GK29" i="1" s="1"/>
  <c r="CU29" i="1"/>
  <c r="CV29" i="1"/>
  <c r="U29" i="1" s="1"/>
  <c r="CW29" i="1"/>
  <c r="FR29" i="1"/>
  <c r="GL29" i="1"/>
  <c r="GO29" i="1"/>
  <c r="GP29" i="1"/>
  <c r="GV29" i="1"/>
  <c r="HC29" i="1" s="1"/>
  <c r="GX29" i="1"/>
  <c r="C30" i="1"/>
  <c r="D30" i="1"/>
  <c r="I30" i="1"/>
  <c r="CX7" i="3" s="1"/>
  <c r="R30" i="1"/>
  <c r="GK30" i="1" s="1"/>
  <c r="AC30" i="1"/>
  <c r="AE30" i="1"/>
  <c r="AD30" i="1" s="1"/>
  <c r="CR30" i="1" s="1"/>
  <c r="Q30" i="1" s="1"/>
  <c r="AF30" i="1"/>
  <c r="CT30" i="1" s="1"/>
  <c r="AG30" i="1"/>
  <c r="AH30" i="1"/>
  <c r="AI30" i="1"/>
  <c r="AJ30" i="1"/>
  <c r="CX30" i="1" s="1"/>
  <c r="CQ30" i="1"/>
  <c r="P30" i="1" s="1"/>
  <c r="CS30" i="1"/>
  <c r="CU30" i="1"/>
  <c r="T30" i="1" s="1"/>
  <c r="CV30" i="1"/>
  <c r="CW30" i="1"/>
  <c r="V30" i="1" s="1"/>
  <c r="FR30" i="1"/>
  <c r="GL30" i="1"/>
  <c r="GO30" i="1"/>
  <c r="GP30" i="1"/>
  <c r="GV30" i="1"/>
  <c r="HC30" i="1" s="1"/>
  <c r="GX30" i="1" s="1"/>
  <c r="C31" i="1"/>
  <c r="D31" i="1"/>
  <c r="I31" i="1"/>
  <c r="V31" i="1" s="1"/>
  <c r="AC31" i="1"/>
  <c r="AE31" i="1"/>
  <c r="AD31" i="1" s="1"/>
  <c r="CR31" i="1" s="1"/>
  <c r="AF31" i="1"/>
  <c r="CT31" i="1" s="1"/>
  <c r="AG31" i="1"/>
  <c r="AH31" i="1"/>
  <c r="AI31" i="1"/>
  <c r="AJ31" i="1"/>
  <c r="CX31" i="1" s="1"/>
  <c r="CQ31" i="1"/>
  <c r="CS31" i="1"/>
  <c r="R31" i="1" s="1"/>
  <c r="GK31" i="1" s="1"/>
  <c r="CU31" i="1"/>
  <c r="CV31" i="1"/>
  <c r="CW31" i="1"/>
  <c r="FR31" i="1"/>
  <c r="GL31" i="1"/>
  <c r="GO31" i="1"/>
  <c r="GP31" i="1"/>
  <c r="GV31" i="1"/>
  <c r="HC31" i="1" s="1"/>
  <c r="C32" i="1"/>
  <c r="D32" i="1"/>
  <c r="S32" i="1"/>
  <c r="AC32" i="1"/>
  <c r="AE32" i="1"/>
  <c r="AD32" i="1" s="1"/>
  <c r="CR32" i="1" s="1"/>
  <c r="Q32" i="1" s="1"/>
  <c r="AF32" i="1"/>
  <c r="AG32" i="1"/>
  <c r="CU32" i="1" s="1"/>
  <c r="T32" i="1" s="1"/>
  <c r="AH32" i="1"/>
  <c r="AI32" i="1"/>
  <c r="AJ32" i="1"/>
  <c r="CS32" i="1"/>
  <c r="R32" i="1" s="1"/>
  <c r="GK32" i="1" s="1"/>
  <c r="CT32" i="1"/>
  <c r="CV32" i="1"/>
  <c r="U32" i="1" s="1"/>
  <c r="CW32" i="1"/>
  <c r="V32" i="1" s="1"/>
  <c r="CX32" i="1"/>
  <c r="W32" i="1" s="1"/>
  <c r="FR32" i="1"/>
  <c r="GL32" i="1"/>
  <c r="GN32" i="1"/>
  <c r="GP32" i="1"/>
  <c r="GV32" i="1"/>
  <c r="GX32" i="1"/>
  <c r="HC32" i="1"/>
  <c r="C33" i="1"/>
  <c r="D33" i="1"/>
  <c r="I33" i="1"/>
  <c r="AC33" i="1"/>
  <c r="CQ33" i="1" s="1"/>
  <c r="AE33" i="1"/>
  <c r="AD33" i="1" s="1"/>
  <c r="AF33" i="1"/>
  <c r="AG33" i="1"/>
  <c r="CU33" i="1" s="1"/>
  <c r="AH33" i="1"/>
  <c r="AI33" i="1"/>
  <c r="AJ33" i="1"/>
  <c r="CS33" i="1"/>
  <c r="CT33" i="1"/>
  <c r="S33" i="1" s="1"/>
  <c r="CV33" i="1"/>
  <c r="CW33" i="1"/>
  <c r="CX33" i="1"/>
  <c r="W33" i="1" s="1"/>
  <c r="FR33" i="1"/>
  <c r="GL33" i="1"/>
  <c r="GN33" i="1"/>
  <c r="GP33" i="1"/>
  <c r="GV33" i="1"/>
  <c r="HC33" i="1" s="1"/>
  <c r="GX33" i="1" s="1"/>
  <c r="C34" i="1"/>
  <c r="D34" i="1"/>
  <c r="S34" i="1"/>
  <c r="V34" i="1"/>
  <c r="AC34" i="1"/>
  <c r="CQ34" i="1" s="1"/>
  <c r="P34" i="1" s="1"/>
  <c r="CP34" i="1" s="1"/>
  <c r="O34" i="1" s="1"/>
  <c r="AD34" i="1"/>
  <c r="CR34" i="1" s="1"/>
  <c r="Q34" i="1" s="1"/>
  <c r="AE34" i="1"/>
  <c r="AF34" i="1"/>
  <c r="AG34" i="1"/>
  <c r="AH34" i="1"/>
  <c r="CV34" i="1" s="1"/>
  <c r="U34" i="1" s="1"/>
  <c r="AI34" i="1"/>
  <c r="AJ34" i="1"/>
  <c r="CS34" i="1"/>
  <c r="R34" i="1" s="1"/>
  <c r="GK34" i="1" s="1"/>
  <c r="CT34" i="1"/>
  <c r="CU34" i="1"/>
  <c r="T34" i="1" s="1"/>
  <c r="CW34" i="1"/>
  <c r="CX34" i="1"/>
  <c r="W34" i="1" s="1"/>
  <c r="FR34" i="1"/>
  <c r="GL34" i="1"/>
  <c r="GN34" i="1"/>
  <c r="GP34" i="1"/>
  <c r="GV34" i="1"/>
  <c r="HC34" i="1"/>
  <c r="GX34" i="1" s="1"/>
  <c r="C35" i="1"/>
  <c r="D35" i="1"/>
  <c r="S35" i="1"/>
  <c r="U35" i="1"/>
  <c r="AC35" i="1"/>
  <c r="AE35" i="1"/>
  <c r="AF35" i="1"/>
  <c r="AG35" i="1"/>
  <c r="AH35" i="1"/>
  <c r="AI35" i="1"/>
  <c r="CW35" i="1" s="1"/>
  <c r="V35" i="1" s="1"/>
  <c r="AJ35" i="1"/>
  <c r="CT35" i="1"/>
  <c r="CU35" i="1"/>
  <c r="T35" i="1" s="1"/>
  <c r="CV35" i="1"/>
  <c r="CX35" i="1"/>
  <c r="W35" i="1" s="1"/>
  <c r="FR35" i="1"/>
  <c r="GL35" i="1"/>
  <c r="GN35" i="1"/>
  <c r="GP35" i="1"/>
  <c r="GV35" i="1"/>
  <c r="HC35" i="1" s="1"/>
  <c r="GX35" i="1" s="1"/>
  <c r="C36" i="1"/>
  <c r="D36" i="1"/>
  <c r="I36" i="1"/>
  <c r="AC36" i="1"/>
  <c r="AD36" i="1"/>
  <c r="AE36" i="1"/>
  <c r="AF36" i="1"/>
  <c r="CT36" i="1" s="1"/>
  <c r="S36" i="1" s="1"/>
  <c r="AG36" i="1"/>
  <c r="AH36" i="1"/>
  <c r="CV36" i="1" s="1"/>
  <c r="U36" i="1" s="1"/>
  <c r="AI36" i="1"/>
  <c r="AJ36" i="1"/>
  <c r="CX36" i="1" s="1"/>
  <c r="W36" i="1" s="1"/>
  <c r="CQ36" i="1"/>
  <c r="P36" i="1" s="1"/>
  <c r="CS36" i="1"/>
  <c r="R36" i="1" s="1"/>
  <c r="GK36" i="1" s="1"/>
  <c r="CU36" i="1"/>
  <c r="T36" i="1" s="1"/>
  <c r="CW36" i="1"/>
  <c r="V36" i="1" s="1"/>
  <c r="FR36" i="1"/>
  <c r="GL36" i="1"/>
  <c r="GO36" i="1"/>
  <c r="GP36" i="1"/>
  <c r="GV36" i="1"/>
  <c r="GX36" i="1"/>
  <c r="HC36" i="1"/>
  <c r="C37" i="1"/>
  <c r="D37" i="1"/>
  <c r="I37" i="1"/>
  <c r="P37" i="1"/>
  <c r="AC37" i="1"/>
  <c r="AD37" i="1"/>
  <c r="AE37" i="1"/>
  <c r="AF37" i="1"/>
  <c r="CT37" i="1" s="1"/>
  <c r="S37" i="1" s="1"/>
  <c r="AG37" i="1"/>
  <c r="AH37" i="1"/>
  <c r="CV37" i="1" s="1"/>
  <c r="U37" i="1" s="1"/>
  <c r="AI37" i="1"/>
  <c r="AJ37" i="1"/>
  <c r="CX37" i="1" s="1"/>
  <c r="W37" i="1" s="1"/>
  <c r="CQ37" i="1"/>
  <c r="CS37" i="1"/>
  <c r="R37" i="1" s="1"/>
  <c r="GK37" i="1" s="1"/>
  <c r="CU37" i="1"/>
  <c r="T37" i="1" s="1"/>
  <c r="CW37" i="1"/>
  <c r="V37" i="1" s="1"/>
  <c r="FR37" i="1"/>
  <c r="GL37" i="1"/>
  <c r="GO37" i="1"/>
  <c r="GP37" i="1"/>
  <c r="GV37" i="1"/>
  <c r="GX37" i="1"/>
  <c r="HC37" i="1"/>
  <c r="C38" i="1"/>
  <c r="D38" i="1"/>
  <c r="I38" i="1"/>
  <c r="CX45" i="3" s="1"/>
  <c r="P38" i="1"/>
  <c r="AC38" i="1"/>
  <c r="AD38" i="1"/>
  <c r="AE38" i="1"/>
  <c r="AF38" i="1"/>
  <c r="CT38" i="1" s="1"/>
  <c r="S38" i="1" s="1"/>
  <c r="AG38" i="1"/>
  <c r="AH38" i="1"/>
  <c r="CV38" i="1" s="1"/>
  <c r="U38" i="1" s="1"/>
  <c r="AI38" i="1"/>
  <c r="AJ38" i="1"/>
  <c r="CX38" i="1" s="1"/>
  <c r="W38" i="1" s="1"/>
  <c r="CQ38" i="1"/>
  <c r="CS38" i="1"/>
  <c r="R38" i="1" s="1"/>
  <c r="GK38" i="1" s="1"/>
  <c r="CU38" i="1"/>
  <c r="T38" i="1" s="1"/>
  <c r="CW38" i="1"/>
  <c r="V38" i="1" s="1"/>
  <c r="FR38" i="1"/>
  <c r="GL38" i="1"/>
  <c r="GO38" i="1"/>
  <c r="GP38" i="1"/>
  <c r="GV38" i="1"/>
  <c r="GX38" i="1"/>
  <c r="HC38" i="1"/>
  <c r="C39" i="1"/>
  <c r="D39" i="1"/>
  <c r="I39" i="1"/>
  <c r="P39" i="1"/>
  <c r="CP39" i="1" s="1"/>
  <c r="O39" i="1" s="1"/>
  <c r="AC39" i="1"/>
  <c r="AD39" i="1"/>
  <c r="CR39" i="1" s="1"/>
  <c r="Q39" i="1" s="1"/>
  <c r="AE39" i="1"/>
  <c r="AF39" i="1"/>
  <c r="CT39" i="1" s="1"/>
  <c r="S39" i="1" s="1"/>
  <c r="AG39" i="1"/>
  <c r="AH39" i="1"/>
  <c r="CV39" i="1" s="1"/>
  <c r="U39" i="1" s="1"/>
  <c r="AI39" i="1"/>
  <c r="AJ39" i="1"/>
  <c r="CX39" i="1" s="1"/>
  <c r="W39" i="1" s="1"/>
  <c r="CQ39" i="1"/>
  <c r="CS39" i="1"/>
  <c r="R39" i="1" s="1"/>
  <c r="CU39" i="1"/>
  <c r="T39" i="1" s="1"/>
  <c r="CW39" i="1"/>
  <c r="V39" i="1" s="1"/>
  <c r="FR39" i="1"/>
  <c r="GL39" i="1"/>
  <c r="BZ46" i="1" s="1"/>
  <c r="GO39" i="1"/>
  <c r="GP39" i="1"/>
  <c r="GV39" i="1"/>
  <c r="GX39" i="1"/>
  <c r="HC39" i="1"/>
  <c r="C40" i="1"/>
  <c r="D40" i="1"/>
  <c r="I40" i="1"/>
  <c r="T40" i="1"/>
  <c r="AC40" i="1"/>
  <c r="AD40" i="1"/>
  <c r="CR40" i="1" s="1"/>
  <c r="Q40" i="1" s="1"/>
  <c r="AE40" i="1"/>
  <c r="AF40" i="1"/>
  <c r="CT40" i="1" s="1"/>
  <c r="AG40" i="1"/>
  <c r="AH40" i="1"/>
  <c r="CV40" i="1" s="1"/>
  <c r="U40" i="1" s="1"/>
  <c r="AI40" i="1"/>
  <c r="AJ40" i="1"/>
  <c r="CX40" i="1" s="1"/>
  <c r="W40" i="1" s="1"/>
  <c r="CQ40" i="1"/>
  <c r="P40" i="1" s="1"/>
  <c r="CS40" i="1"/>
  <c r="R40" i="1" s="1"/>
  <c r="GK40" i="1" s="1"/>
  <c r="CU40" i="1"/>
  <c r="CW40" i="1"/>
  <c r="V40" i="1" s="1"/>
  <c r="FR40" i="1"/>
  <c r="GL40" i="1"/>
  <c r="GO40" i="1"/>
  <c r="GP40" i="1"/>
  <c r="GV40" i="1"/>
  <c r="GX40" i="1"/>
  <c r="HC40" i="1"/>
  <c r="I41" i="1"/>
  <c r="T41" i="1"/>
  <c r="V41" i="1"/>
  <c r="AC41" i="1"/>
  <c r="AD41" i="1"/>
  <c r="CR41" i="1" s="1"/>
  <c r="Q41" i="1" s="1"/>
  <c r="AE41" i="1"/>
  <c r="AF41" i="1"/>
  <c r="CT41" i="1" s="1"/>
  <c r="AG41" i="1"/>
  <c r="AH41" i="1"/>
  <c r="CV41" i="1" s="1"/>
  <c r="U41" i="1" s="1"/>
  <c r="AI41" i="1"/>
  <c r="AJ41" i="1"/>
  <c r="CX41" i="1" s="1"/>
  <c r="CQ41" i="1"/>
  <c r="P41" i="1" s="1"/>
  <c r="CS41" i="1"/>
  <c r="R41" i="1" s="1"/>
  <c r="GK41" i="1" s="1"/>
  <c r="CU41" i="1"/>
  <c r="CW41" i="1"/>
  <c r="FR41" i="1"/>
  <c r="GL41" i="1"/>
  <c r="GO41" i="1"/>
  <c r="GP41" i="1"/>
  <c r="GV41" i="1"/>
  <c r="GX41" i="1"/>
  <c r="HC41" i="1"/>
  <c r="C42" i="1"/>
  <c r="D42" i="1"/>
  <c r="I42" i="1"/>
  <c r="P42" i="1"/>
  <c r="CP42" i="1" s="1"/>
  <c r="O42" i="1" s="1"/>
  <c r="AC42" i="1"/>
  <c r="AD42" i="1"/>
  <c r="CR42" i="1" s="1"/>
  <c r="Q42" i="1" s="1"/>
  <c r="AE42" i="1"/>
  <c r="AF42" i="1"/>
  <c r="CT42" i="1" s="1"/>
  <c r="S42" i="1" s="1"/>
  <c r="AG42" i="1"/>
  <c r="AH42" i="1"/>
  <c r="CV42" i="1" s="1"/>
  <c r="U42" i="1" s="1"/>
  <c r="AI42" i="1"/>
  <c r="AJ42" i="1"/>
  <c r="CX42" i="1" s="1"/>
  <c r="W42" i="1" s="1"/>
  <c r="CQ42" i="1"/>
  <c r="CS42" i="1"/>
  <c r="R42" i="1" s="1"/>
  <c r="GK42" i="1" s="1"/>
  <c r="CU42" i="1"/>
  <c r="T42" i="1" s="1"/>
  <c r="CW42" i="1"/>
  <c r="V42" i="1" s="1"/>
  <c r="FR42" i="1"/>
  <c r="GL42" i="1"/>
  <c r="GO42" i="1"/>
  <c r="GP42" i="1"/>
  <c r="GV42" i="1"/>
  <c r="HC42" i="1" s="1"/>
  <c r="GX42" i="1" s="1"/>
  <c r="C43" i="1"/>
  <c r="D43" i="1"/>
  <c r="I43" i="1"/>
  <c r="AC43" i="1"/>
  <c r="AD43" i="1"/>
  <c r="AE43" i="1"/>
  <c r="AF43" i="1"/>
  <c r="CT43" i="1" s="1"/>
  <c r="AG43" i="1"/>
  <c r="AH43" i="1"/>
  <c r="CV43" i="1" s="1"/>
  <c r="U43" i="1" s="1"/>
  <c r="AI43" i="1"/>
  <c r="AJ43" i="1"/>
  <c r="CX43" i="1" s="1"/>
  <c r="CQ43" i="1"/>
  <c r="CS43" i="1"/>
  <c r="R43" i="1" s="1"/>
  <c r="GK43" i="1" s="1"/>
  <c r="CU43" i="1"/>
  <c r="T43" i="1" s="1"/>
  <c r="CW43" i="1"/>
  <c r="FR43" i="1"/>
  <c r="GL43" i="1"/>
  <c r="GO43" i="1"/>
  <c r="GP43" i="1"/>
  <c r="GV43" i="1"/>
  <c r="HC43" i="1" s="1"/>
  <c r="GX43" i="1" s="1"/>
  <c r="C44" i="1"/>
  <c r="D44" i="1"/>
  <c r="I44" i="1"/>
  <c r="AC44" i="1"/>
  <c r="AE44" i="1"/>
  <c r="AF44" i="1"/>
  <c r="CT44" i="1" s="1"/>
  <c r="S44" i="1" s="1"/>
  <c r="AG44" i="1"/>
  <c r="AH44" i="1"/>
  <c r="AI44" i="1"/>
  <c r="CW44" i="1" s="1"/>
  <c r="V44" i="1" s="1"/>
  <c r="AJ44" i="1"/>
  <c r="CX44" i="1" s="1"/>
  <c r="W44" i="1" s="1"/>
  <c r="CQ44" i="1"/>
  <c r="P44" i="1" s="1"/>
  <c r="CU44" i="1"/>
  <c r="T44" i="1" s="1"/>
  <c r="CV44" i="1"/>
  <c r="U44" i="1" s="1"/>
  <c r="FR44" i="1"/>
  <c r="GL44" i="1"/>
  <c r="GO44" i="1"/>
  <c r="GP44" i="1"/>
  <c r="GV44" i="1"/>
  <c r="HC44" i="1" s="1"/>
  <c r="GX44" i="1" s="1"/>
  <c r="B46" i="1"/>
  <c r="B26" i="1" s="1"/>
  <c r="C46" i="1"/>
  <c r="C26" i="1" s="1"/>
  <c r="D46" i="1"/>
  <c r="D26" i="1" s="1"/>
  <c r="F46" i="1"/>
  <c r="F26" i="1" s="1"/>
  <c r="G46" i="1"/>
  <c r="G26" i="1" s="1"/>
  <c r="AP46" i="1"/>
  <c r="AP26" i="1" s="1"/>
  <c r="AQ46" i="1"/>
  <c r="AQ26" i="1" s="1"/>
  <c r="AU46" i="1"/>
  <c r="BB46" i="1"/>
  <c r="BB26" i="1" s="1"/>
  <c r="BC46" i="1"/>
  <c r="BX46" i="1"/>
  <c r="BX26" i="1" s="1"/>
  <c r="BY46" i="1"/>
  <c r="BY26" i="1" s="1"/>
  <c r="CD46" i="1"/>
  <c r="CD26" i="1" s="1"/>
  <c r="CI46" i="1"/>
  <c r="CK46" i="1"/>
  <c r="CK26" i="1" s="1"/>
  <c r="CL46" i="1"/>
  <c r="CL26" i="1" s="1"/>
  <c r="F55" i="1"/>
  <c r="F56" i="1"/>
  <c r="F59" i="1"/>
  <c r="D75" i="1"/>
  <c r="E77" i="1"/>
  <c r="Z77" i="1"/>
  <c r="AA77" i="1"/>
  <c r="AM77" i="1"/>
  <c r="AN77" i="1"/>
  <c r="BD77" i="1"/>
  <c r="BE77" i="1"/>
  <c r="BF77" i="1"/>
  <c r="BG77" i="1"/>
  <c r="BH77" i="1"/>
  <c r="BI77" i="1"/>
  <c r="BJ77" i="1"/>
  <c r="BK77" i="1"/>
  <c r="BL77" i="1"/>
  <c r="BM77" i="1"/>
  <c r="BN77" i="1"/>
  <c r="BO77" i="1"/>
  <c r="BP77" i="1"/>
  <c r="BQ77" i="1"/>
  <c r="BR77" i="1"/>
  <c r="BS77" i="1"/>
  <c r="BT77" i="1"/>
  <c r="BU77" i="1"/>
  <c r="BV77" i="1"/>
  <c r="BW77" i="1"/>
  <c r="CM77" i="1"/>
  <c r="CN77" i="1"/>
  <c r="CO77" i="1"/>
  <c r="CP77" i="1"/>
  <c r="CQ77" i="1"/>
  <c r="CR77" i="1"/>
  <c r="CS77" i="1"/>
  <c r="CT77" i="1"/>
  <c r="CU77" i="1"/>
  <c r="CV77" i="1"/>
  <c r="CW77" i="1"/>
  <c r="CX77" i="1"/>
  <c r="CY77" i="1"/>
  <c r="CZ77" i="1"/>
  <c r="DA77" i="1"/>
  <c r="DB77" i="1"/>
  <c r="DC77" i="1"/>
  <c r="DD77" i="1"/>
  <c r="DE77" i="1"/>
  <c r="DF77" i="1"/>
  <c r="DG77" i="1"/>
  <c r="DH77" i="1"/>
  <c r="DI77" i="1"/>
  <c r="DJ77" i="1"/>
  <c r="DK77" i="1"/>
  <c r="DL77" i="1"/>
  <c r="DM77" i="1"/>
  <c r="DN77" i="1"/>
  <c r="DO77" i="1"/>
  <c r="DP77" i="1"/>
  <c r="DQ77" i="1"/>
  <c r="DR77" i="1"/>
  <c r="DS77" i="1"/>
  <c r="DT77" i="1"/>
  <c r="DU77" i="1"/>
  <c r="DV77" i="1"/>
  <c r="DW77" i="1"/>
  <c r="DX77" i="1"/>
  <c r="DY77" i="1"/>
  <c r="DZ77" i="1"/>
  <c r="EA77" i="1"/>
  <c r="EB77" i="1"/>
  <c r="EC77" i="1"/>
  <c r="ED77" i="1"/>
  <c r="EE77" i="1"/>
  <c r="EF77" i="1"/>
  <c r="EG77" i="1"/>
  <c r="EH77" i="1"/>
  <c r="EI77" i="1"/>
  <c r="EJ77" i="1"/>
  <c r="EK77" i="1"/>
  <c r="EL77" i="1"/>
  <c r="EM77" i="1"/>
  <c r="EN77" i="1"/>
  <c r="EO77" i="1"/>
  <c r="EP77" i="1"/>
  <c r="EQ77" i="1"/>
  <c r="ER77" i="1"/>
  <c r="ES77" i="1"/>
  <c r="ET77" i="1"/>
  <c r="EU77" i="1"/>
  <c r="EV77" i="1"/>
  <c r="EW77" i="1"/>
  <c r="EX77" i="1"/>
  <c r="EY77" i="1"/>
  <c r="EZ77" i="1"/>
  <c r="FA77" i="1"/>
  <c r="FB77" i="1"/>
  <c r="FC77" i="1"/>
  <c r="FD77" i="1"/>
  <c r="FE77" i="1"/>
  <c r="FF77" i="1"/>
  <c r="FG77" i="1"/>
  <c r="FH77" i="1"/>
  <c r="FI77" i="1"/>
  <c r="FJ77" i="1"/>
  <c r="FK77" i="1"/>
  <c r="FL77" i="1"/>
  <c r="FM77" i="1"/>
  <c r="FN77" i="1"/>
  <c r="FO77" i="1"/>
  <c r="FP77" i="1"/>
  <c r="FQ77" i="1"/>
  <c r="FR77" i="1"/>
  <c r="FS77" i="1"/>
  <c r="FT77" i="1"/>
  <c r="FU77" i="1"/>
  <c r="FV77" i="1"/>
  <c r="FW77" i="1"/>
  <c r="FX77" i="1"/>
  <c r="FY77" i="1"/>
  <c r="FZ77" i="1"/>
  <c r="GA77" i="1"/>
  <c r="GB77" i="1"/>
  <c r="GC77" i="1"/>
  <c r="GD77" i="1"/>
  <c r="GE77" i="1"/>
  <c r="GF77" i="1"/>
  <c r="GG77" i="1"/>
  <c r="GH77" i="1"/>
  <c r="GI77" i="1"/>
  <c r="GJ77" i="1"/>
  <c r="GK77" i="1"/>
  <c r="GL77" i="1"/>
  <c r="GM77" i="1"/>
  <c r="GN77" i="1"/>
  <c r="GO77" i="1"/>
  <c r="GP77" i="1"/>
  <c r="GQ77" i="1"/>
  <c r="GR77" i="1"/>
  <c r="GS77" i="1"/>
  <c r="GT77" i="1"/>
  <c r="GU77" i="1"/>
  <c r="GV77" i="1"/>
  <c r="GW77" i="1"/>
  <c r="GX77" i="1"/>
  <c r="C79" i="1"/>
  <c r="D79" i="1"/>
  <c r="I79" i="1"/>
  <c r="I80" i="1" s="1"/>
  <c r="AC79" i="1"/>
  <c r="AE79" i="1"/>
  <c r="AD79" i="1" s="1"/>
  <c r="CR79" i="1" s="1"/>
  <c r="Q79" i="1" s="1"/>
  <c r="AF79" i="1"/>
  <c r="AG79" i="1"/>
  <c r="CU79" i="1" s="1"/>
  <c r="T79" i="1" s="1"/>
  <c r="AH79" i="1"/>
  <c r="AI79" i="1"/>
  <c r="AJ79" i="1"/>
  <c r="CS79" i="1"/>
  <c r="R79" i="1" s="1"/>
  <c r="CT79" i="1"/>
  <c r="S79" i="1" s="1"/>
  <c r="CV79" i="1"/>
  <c r="U79" i="1" s="1"/>
  <c r="CW79" i="1"/>
  <c r="V79" i="1" s="1"/>
  <c r="CX79" i="1"/>
  <c r="W79" i="1" s="1"/>
  <c r="FR79" i="1"/>
  <c r="GK79" i="1"/>
  <c r="GL79" i="1"/>
  <c r="GO79" i="1"/>
  <c r="GP79" i="1"/>
  <c r="GV79" i="1"/>
  <c r="HC79" i="1"/>
  <c r="GX79" i="1" s="1"/>
  <c r="U80" i="1"/>
  <c r="AC80" i="1"/>
  <c r="AE80" i="1"/>
  <c r="AF80" i="1"/>
  <c r="AG80" i="1"/>
  <c r="AH80" i="1"/>
  <c r="AI80" i="1"/>
  <c r="CW80" i="1" s="1"/>
  <c r="V80" i="1" s="1"/>
  <c r="AJ80" i="1"/>
  <c r="CQ80" i="1"/>
  <c r="P80" i="1" s="1"/>
  <c r="CT80" i="1"/>
  <c r="S80" i="1" s="1"/>
  <c r="CU80" i="1"/>
  <c r="T80" i="1" s="1"/>
  <c r="CV80" i="1"/>
  <c r="CX80" i="1"/>
  <c r="W80" i="1" s="1"/>
  <c r="FR80" i="1"/>
  <c r="GL80" i="1"/>
  <c r="GO80" i="1"/>
  <c r="GP80" i="1"/>
  <c r="GV80" i="1"/>
  <c r="HC80" i="1" s="1"/>
  <c r="GX80" i="1" s="1"/>
  <c r="I81" i="1"/>
  <c r="AC81" i="1"/>
  <c r="AD81" i="1"/>
  <c r="CR81" i="1" s="1"/>
  <c r="Q81" i="1" s="1"/>
  <c r="AE81" i="1"/>
  <c r="AF81" i="1"/>
  <c r="AG81" i="1"/>
  <c r="CU81" i="1" s="1"/>
  <c r="T81" i="1" s="1"/>
  <c r="AH81" i="1"/>
  <c r="CV81" i="1" s="1"/>
  <c r="U81" i="1" s="1"/>
  <c r="AI81" i="1"/>
  <c r="AJ81" i="1"/>
  <c r="CS81" i="1"/>
  <c r="R81" i="1" s="1"/>
  <c r="CT81" i="1"/>
  <c r="S81" i="1" s="1"/>
  <c r="CW81" i="1"/>
  <c r="V81" i="1" s="1"/>
  <c r="CX81" i="1"/>
  <c r="W81" i="1" s="1"/>
  <c r="FR81" i="1"/>
  <c r="GK81" i="1"/>
  <c r="GL81" i="1"/>
  <c r="GO81" i="1"/>
  <c r="GP81" i="1"/>
  <c r="GV81" i="1"/>
  <c r="HC81" i="1"/>
  <c r="GX81" i="1" s="1"/>
  <c r="I82" i="1"/>
  <c r="AC82" i="1"/>
  <c r="AE82" i="1"/>
  <c r="AF82" i="1"/>
  <c r="CT82" i="1" s="1"/>
  <c r="S82" i="1" s="1"/>
  <c r="AG82" i="1"/>
  <c r="AH82" i="1"/>
  <c r="AI82" i="1"/>
  <c r="CW82" i="1" s="1"/>
  <c r="V82" i="1" s="1"/>
  <c r="AJ82" i="1"/>
  <c r="CX82" i="1" s="1"/>
  <c r="W82" i="1" s="1"/>
  <c r="CQ82" i="1"/>
  <c r="P82" i="1" s="1"/>
  <c r="CU82" i="1"/>
  <c r="T82" i="1" s="1"/>
  <c r="CV82" i="1"/>
  <c r="U82" i="1" s="1"/>
  <c r="FR82" i="1"/>
  <c r="GL82" i="1"/>
  <c r="GO82" i="1"/>
  <c r="GP82" i="1"/>
  <c r="GV82" i="1"/>
  <c r="HC82" i="1" s="1"/>
  <c r="GX82" i="1" s="1"/>
  <c r="I83" i="1"/>
  <c r="AC83" i="1"/>
  <c r="AD83" i="1"/>
  <c r="CR83" i="1" s="1"/>
  <c r="Q83" i="1" s="1"/>
  <c r="AE83" i="1"/>
  <c r="AF83" i="1"/>
  <c r="AG83" i="1"/>
  <c r="CU83" i="1" s="1"/>
  <c r="T83" i="1" s="1"/>
  <c r="AH83" i="1"/>
  <c r="CV83" i="1" s="1"/>
  <c r="U83" i="1" s="1"/>
  <c r="AI83" i="1"/>
  <c r="AJ83" i="1"/>
  <c r="CS83" i="1"/>
  <c r="R83" i="1" s="1"/>
  <c r="GK83" i="1" s="1"/>
  <c r="CT83" i="1"/>
  <c r="S83" i="1" s="1"/>
  <c r="CW83" i="1"/>
  <c r="V83" i="1" s="1"/>
  <c r="CX83" i="1"/>
  <c r="W83" i="1" s="1"/>
  <c r="FR83" i="1"/>
  <c r="GL83" i="1"/>
  <c r="GO83" i="1"/>
  <c r="GP83" i="1"/>
  <c r="GV83" i="1"/>
  <c r="HC83" i="1"/>
  <c r="GX83" i="1" s="1"/>
  <c r="C84" i="1"/>
  <c r="D84" i="1"/>
  <c r="I84" i="1"/>
  <c r="I85" i="1" s="1"/>
  <c r="W84" i="1"/>
  <c r="AC84" i="1"/>
  <c r="AD84" i="1"/>
  <c r="CR84" i="1" s="1"/>
  <c r="Q84" i="1" s="1"/>
  <c r="AE84" i="1"/>
  <c r="AF84" i="1"/>
  <c r="AG84" i="1"/>
  <c r="CU84" i="1" s="1"/>
  <c r="T84" i="1" s="1"/>
  <c r="AH84" i="1"/>
  <c r="CV84" i="1" s="1"/>
  <c r="U84" i="1" s="1"/>
  <c r="AI84" i="1"/>
  <c r="AJ84" i="1"/>
  <c r="CS84" i="1"/>
  <c r="R84" i="1" s="1"/>
  <c r="CT84" i="1"/>
  <c r="S84" i="1" s="1"/>
  <c r="CW84" i="1"/>
  <c r="V84" i="1" s="1"/>
  <c r="CX84" i="1"/>
  <c r="FR84" i="1"/>
  <c r="GK84" i="1"/>
  <c r="GL84" i="1"/>
  <c r="GO84" i="1"/>
  <c r="GP84" i="1"/>
  <c r="GV84" i="1"/>
  <c r="HC84" i="1"/>
  <c r="GX84" i="1" s="1"/>
  <c r="AC85" i="1"/>
  <c r="AE85" i="1"/>
  <c r="AF85" i="1"/>
  <c r="CT85" i="1" s="1"/>
  <c r="S85" i="1" s="1"/>
  <c r="AG85" i="1"/>
  <c r="AH85" i="1"/>
  <c r="AI85" i="1"/>
  <c r="CW85" i="1" s="1"/>
  <c r="V85" i="1" s="1"/>
  <c r="AJ85" i="1"/>
  <c r="CX85" i="1" s="1"/>
  <c r="W85" i="1" s="1"/>
  <c r="CQ85" i="1"/>
  <c r="P85" i="1" s="1"/>
  <c r="CU85" i="1"/>
  <c r="T85" i="1" s="1"/>
  <c r="CV85" i="1"/>
  <c r="U85" i="1" s="1"/>
  <c r="FR85" i="1"/>
  <c r="GL85" i="1"/>
  <c r="GO85" i="1"/>
  <c r="GP85" i="1"/>
  <c r="GV85" i="1"/>
  <c r="HC85" i="1" s="1"/>
  <c r="GX85" i="1" s="1"/>
  <c r="I86" i="1"/>
  <c r="AC86" i="1"/>
  <c r="AD86" i="1"/>
  <c r="CR86" i="1" s="1"/>
  <c r="Q86" i="1" s="1"/>
  <c r="AE86" i="1"/>
  <c r="AF86" i="1"/>
  <c r="AG86" i="1"/>
  <c r="CU86" i="1" s="1"/>
  <c r="T86" i="1" s="1"/>
  <c r="AH86" i="1"/>
  <c r="CV86" i="1" s="1"/>
  <c r="U86" i="1" s="1"/>
  <c r="AI86" i="1"/>
  <c r="AJ86" i="1"/>
  <c r="CS86" i="1"/>
  <c r="R86" i="1" s="1"/>
  <c r="GK86" i="1" s="1"/>
  <c r="CT86" i="1"/>
  <c r="S86" i="1" s="1"/>
  <c r="CW86" i="1"/>
  <c r="V86" i="1" s="1"/>
  <c r="CX86" i="1"/>
  <c r="W86" i="1" s="1"/>
  <c r="FR86" i="1"/>
  <c r="GL86" i="1"/>
  <c r="GO86" i="1"/>
  <c r="GP86" i="1"/>
  <c r="GV86" i="1"/>
  <c r="HC86" i="1"/>
  <c r="GX86" i="1" s="1"/>
  <c r="C87" i="1"/>
  <c r="D87" i="1"/>
  <c r="I87" i="1"/>
  <c r="W87" i="1"/>
  <c r="AC87" i="1"/>
  <c r="AD87" i="1"/>
  <c r="CR87" i="1" s="1"/>
  <c r="Q87" i="1" s="1"/>
  <c r="AE87" i="1"/>
  <c r="AF87" i="1"/>
  <c r="AG87" i="1"/>
  <c r="CU87" i="1" s="1"/>
  <c r="T87" i="1" s="1"/>
  <c r="AH87" i="1"/>
  <c r="CV87" i="1" s="1"/>
  <c r="U87" i="1" s="1"/>
  <c r="AI87" i="1"/>
  <c r="AJ87" i="1"/>
  <c r="CS87" i="1"/>
  <c r="R87" i="1" s="1"/>
  <c r="CT87" i="1"/>
  <c r="S87" i="1" s="1"/>
  <c r="CW87" i="1"/>
  <c r="V87" i="1" s="1"/>
  <c r="CX87" i="1"/>
  <c r="FR87" i="1"/>
  <c r="GK87" i="1"/>
  <c r="GL87" i="1"/>
  <c r="GO87" i="1"/>
  <c r="GP87" i="1"/>
  <c r="GV87" i="1"/>
  <c r="HC87" i="1"/>
  <c r="GX87" i="1" s="1"/>
  <c r="C88" i="1"/>
  <c r="D88" i="1"/>
  <c r="I88" i="1"/>
  <c r="AC88" i="1"/>
  <c r="AD88" i="1"/>
  <c r="CR88" i="1" s="1"/>
  <c r="Q88" i="1" s="1"/>
  <c r="AE88" i="1"/>
  <c r="AF88" i="1"/>
  <c r="AG88" i="1"/>
  <c r="CU88" i="1" s="1"/>
  <c r="T88" i="1" s="1"/>
  <c r="AH88" i="1"/>
  <c r="CV88" i="1" s="1"/>
  <c r="U88" i="1" s="1"/>
  <c r="AI88" i="1"/>
  <c r="AJ88" i="1"/>
  <c r="CS88" i="1"/>
  <c r="R88" i="1" s="1"/>
  <c r="GK88" i="1" s="1"/>
  <c r="CT88" i="1"/>
  <c r="S88" i="1" s="1"/>
  <c r="CW88" i="1"/>
  <c r="V88" i="1" s="1"/>
  <c r="CX88" i="1"/>
  <c r="W88" i="1" s="1"/>
  <c r="FR88" i="1"/>
  <c r="GL88" i="1"/>
  <c r="GO88" i="1"/>
  <c r="GP88" i="1"/>
  <c r="GV88" i="1"/>
  <c r="HC88" i="1"/>
  <c r="GX88" i="1" s="1"/>
  <c r="C89" i="1"/>
  <c r="D89" i="1"/>
  <c r="I89" i="1"/>
  <c r="I90" i="1" s="1"/>
  <c r="W89" i="1"/>
  <c r="AC89" i="1"/>
  <c r="AD89" i="1"/>
  <c r="CR89" i="1" s="1"/>
  <c r="Q89" i="1" s="1"/>
  <c r="AE89" i="1"/>
  <c r="AF89" i="1"/>
  <c r="AG89" i="1"/>
  <c r="CU89" i="1" s="1"/>
  <c r="T89" i="1" s="1"/>
  <c r="AH89" i="1"/>
  <c r="CV89" i="1" s="1"/>
  <c r="U89" i="1" s="1"/>
  <c r="AI89" i="1"/>
  <c r="AJ89" i="1"/>
  <c r="CS89" i="1"/>
  <c r="R89" i="1" s="1"/>
  <c r="CT89" i="1"/>
  <c r="S89" i="1" s="1"/>
  <c r="CW89" i="1"/>
  <c r="V89" i="1" s="1"/>
  <c r="CX89" i="1"/>
  <c r="FR89" i="1"/>
  <c r="GK89" i="1"/>
  <c r="GL89" i="1"/>
  <c r="GO89" i="1"/>
  <c r="GP89" i="1"/>
  <c r="GV89" i="1"/>
  <c r="HC89" i="1"/>
  <c r="GX89" i="1" s="1"/>
  <c r="AC90" i="1"/>
  <c r="AE90" i="1"/>
  <c r="AF90" i="1"/>
  <c r="CT90" i="1" s="1"/>
  <c r="S90" i="1" s="1"/>
  <c r="AG90" i="1"/>
  <c r="AH90" i="1"/>
  <c r="AI90" i="1"/>
  <c r="CW90" i="1" s="1"/>
  <c r="V90" i="1" s="1"/>
  <c r="AJ90" i="1"/>
  <c r="CX90" i="1" s="1"/>
  <c r="W90" i="1" s="1"/>
  <c r="CQ90" i="1"/>
  <c r="P90" i="1" s="1"/>
  <c r="CU90" i="1"/>
  <c r="T90" i="1" s="1"/>
  <c r="CV90" i="1"/>
  <c r="U90" i="1" s="1"/>
  <c r="FR90" i="1"/>
  <c r="GL90" i="1"/>
  <c r="GO90" i="1"/>
  <c r="GP90" i="1"/>
  <c r="GV90" i="1"/>
  <c r="HC90" i="1" s="1"/>
  <c r="GX90" i="1" s="1"/>
  <c r="I91" i="1"/>
  <c r="R91" i="1"/>
  <c r="GK91" i="1" s="1"/>
  <c r="AC91" i="1"/>
  <c r="CQ91" i="1" s="1"/>
  <c r="P91" i="1" s="1"/>
  <c r="AD91" i="1"/>
  <c r="CR91" i="1" s="1"/>
  <c r="Q91" i="1" s="1"/>
  <c r="AE91" i="1"/>
  <c r="AF91" i="1"/>
  <c r="CT91" i="1" s="1"/>
  <c r="S91" i="1" s="1"/>
  <c r="AG91" i="1"/>
  <c r="CU91" i="1" s="1"/>
  <c r="T91" i="1" s="1"/>
  <c r="AH91" i="1"/>
  <c r="CV91" i="1" s="1"/>
  <c r="U91" i="1" s="1"/>
  <c r="AI91" i="1"/>
  <c r="AJ91" i="1"/>
  <c r="CX91" i="1" s="1"/>
  <c r="W91" i="1" s="1"/>
  <c r="CS91" i="1"/>
  <c r="CW91" i="1"/>
  <c r="V91" i="1" s="1"/>
  <c r="FR91" i="1"/>
  <c r="GL91" i="1"/>
  <c r="GO91" i="1"/>
  <c r="GP91" i="1"/>
  <c r="GV91" i="1"/>
  <c r="HC91" i="1"/>
  <c r="GX91" i="1" s="1"/>
  <c r="C92" i="1"/>
  <c r="D92" i="1"/>
  <c r="I92" i="1"/>
  <c r="S92" i="1"/>
  <c r="V92" i="1"/>
  <c r="AC92" i="1"/>
  <c r="CQ92" i="1" s="1"/>
  <c r="P92" i="1" s="1"/>
  <c r="AD92" i="1"/>
  <c r="CR92" i="1" s="1"/>
  <c r="Q92" i="1" s="1"/>
  <c r="AE92" i="1"/>
  <c r="AF92" i="1"/>
  <c r="AG92" i="1"/>
  <c r="CU92" i="1" s="1"/>
  <c r="T92" i="1" s="1"/>
  <c r="AH92" i="1"/>
  <c r="CV92" i="1" s="1"/>
  <c r="U92" i="1" s="1"/>
  <c r="AI92" i="1"/>
  <c r="AJ92" i="1"/>
  <c r="CP92" i="1"/>
  <c r="O92" i="1" s="1"/>
  <c r="CS92" i="1"/>
  <c r="R92" i="1" s="1"/>
  <c r="GK92" i="1" s="1"/>
  <c r="CT92" i="1"/>
  <c r="CW92" i="1"/>
  <c r="CX92" i="1"/>
  <c r="W92" i="1" s="1"/>
  <c r="FR92" i="1"/>
  <c r="GL92" i="1"/>
  <c r="GO92" i="1"/>
  <c r="GP92" i="1"/>
  <c r="GV92" i="1"/>
  <c r="GX92" i="1"/>
  <c r="HC92" i="1"/>
  <c r="I93" i="1"/>
  <c r="Q93" i="1"/>
  <c r="R93" i="1"/>
  <c r="GK93" i="1" s="1"/>
  <c r="T93" i="1"/>
  <c r="V93" i="1"/>
  <c r="AC93" i="1"/>
  <c r="AD93" i="1"/>
  <c r="AB93" i="1" s="1"/>
  <c r="AE93" i="1"/>
  <c r="AF93" i="1"/>
  <c r="CT93" i="1" s="1"/>
  <c r="AG93" i="1"/>
  <c r="AH93" i="1"/>
  <c r="AI93" i="1"/>
  <c r="AJ93" i="1"/>
  <c r="CX93" i="1" s="1"/>
  <c r="CQ93" i="1"/>
  <c r="P93" i="1" s="1"/>
  <c r="CR93" i="1"/>
  <c r="CS93" i="1"/>
  <c r="CU93" i="1"/>
  <c r="CV93" i="1"/>
  <c r="U93" i="1" s="1"/>
  <c r="CW93" i="1"/>
  <c r="FR93" i="1"/>
  <c r="GL93" i="1"/>
  <c r="GO93" i="1"/>
  <c r="GP93" i="1"/>
  <c r="GV93" i="1"/>
  <c r="HC93" i="1" s="1"/>
  <c r="GX93" i="1" s="1"/>
  <c r="I94" i="1"/>
  <c r="V94" i="1" s="1"/>
  <c r="S94" i="1"/>
  <c r="AC94" i="1"/>
  <c r="CQ94" i="1" s="1"/>
  <c r="P94" i="1" s="1"/>
  <c r="AD94" i="1"/>
  <c r="CR94" i="1" s="1"/>
  <c r="AE94" i="1"/>
  <c r="AF94" i="1"/>
  <c r="AB94" i="1" s="1"/>
  <c r="AG94" i="1"/>
  <c r="AH94" i="1"/>
  <c r="CV94" i="1" s="1"/>
  <c r="AI94" i="1"/>
  <c r="AJ94" i="1"/>
  <c r="CS94" i="1"/>
  <c r="R94" i="1" s="1"/>
  <c r="GK94" i="1" s="1"/>
  <c r="CT94" i="1"/>
  <c r="CU94" i="1"/>
  <c r="CW94" i="1"/>
  <c r="CX94" i="1"/>
  <c r="W94" i="1" s="1"/>
  <c r="FR94" i="1"/>
  <c r="GL94" i="1"/>
  <c r="GO94" i="1"/>
  <c r="GP94" i="1"/>
  <c r="GV94" i="1"/>
  <c r="HC94" i="1" s="1"/>
  <c r="GX94" i="1" s="1"/>
  <c r="C95" i="1"/>
  <c r="D95" i="1"/>
  <c r="I95" i="1"/>
  <c r="AC95" i="1"/>
  <c r="AD95" i="1"/>
  <c r="AB95" i="1" s="1"/>
  <c r="AE95" i="1"/>
  <c r="CS95" i="1" s="1"/>
  <c r="R95" i="1" s="1"/>
  <c r="GK95" i="1" s="1"/>
  <c r="AF95" i="1"/>
  <c r="CT95" i="1" s="1"/>
  <c r="S95" i="1" s="1"/>
  <c r="AG95" i="1"/>
  <c r="AH95" i="1"/>
  <c r="CV95" i="1" s="1"/>
  <c r="U95" i="1" s="1"/>
  <c r="AI95" i="1"/>
  <c r="CW95" i="1" s="1"/>
  <c r="V95" i="1" s="1"/>
  <c r="AJ95" i="1"/>
  <c r="CX95" i="1" s="1"/>
  <c r="W95" i="1" s="1"/>
  <c r="CQ95" i="1"/>
  <c r="P95" i="1" s="1"/>
  <c r="CU95" i="1"/>
  <c r="T95" i="1" s="1"/>
  <c r="FR95" i="1"/>
  <c r="GL95" i="1"/>
  <c r="GO95" i="1"/>
  <c r="GP95" i="1"/>
  <c r="GV95" i="1"/>
  <c r="HC95" i="1" s="1"/>
  <c r="GX95" i="1" s="1"/>
  <c r="I96" i="1"/>
  <c r="AC96" i="1"/>
  <c r="AD96" i="1"/>
  <c r="CR96" i="1" s="1"/>
  <c r="Q96" i="1" s="1"/>
  <c r="AE96" i="1"/>
  <c r="AF96" i="1"/>
  <c r="AB96" i="1" s="1"/>
  <c r="AG96" i="1"/>
  <c r="AH96" i="1"/>
  <c r="CV96" i="1" s="1"/>
  <c r="U96" i="1" s="1"/>
  <c r="AI96" i="1"/>
  <c r="AJ96" i="1"/>
  <c r="CX96" i="1" s="1"/>
  <c r="W96" i="1" s="1"/>
  <c r="CQ96" i="1"/>
  <c r="P96" i="1" s="1"/>
  <c r="CS96" i="1"/>
  <c r="R96" i="1" s="1"/>
  <c r="GK96" i="1" s="1"/>
  <c r="CU96" i="1"/>
  <c r="T96" i="1" s="1"/>
  <c r="CW96" i="1"/>
  <c r="V96" i="1" s="1"/>
  <c r="FR96" i="1"/>
  <c r="GL96" i="1"/>
  <c r="GO96" i="1"/>
  <c r="GP96" i="1"/>
  <c r="GV96" i="1"/>
  <c r="GX96" i="1"/>
  <c r="HC96" i="1"/>
  <c r="I97" i="1"/>
  <c r="AC97" i="1"/>
  <c r="AD97" i="1"/>
  <c r="AB97" i="1" s="1"/>
  <c r="AE97" i="1"/>
  <c r="AF97" i="1"/>
  <c r="CT97" i="1" s="1"/>
  <c r="S97" i="1" s="1"/>
  <c r="AG97" i="1"/>
  <c r="AH97" i="1"/>
  <c r="CV97" i="1" s="1"/>
  <c r="U97" i="1" s="1"/>
  <c r="AI97" i="1"/>
  <c r="AJ97" i="1"/>
  <c r="CX97" i="1" s="1"/>
  <c r="W97" i="1" s="1"/>
  <c r="CQ97" i="1"/>
  <c r="P97" i="1" s="1"/>
  <c r="CS97" i="1"/>
  <c r="R97" i="1" s="1"/>
  <c r="GK97" i="1" s="1"/>
  <c r="CU97" i="1"/>
  <c r="T97" i="1" s="1"/>
  <c r="CW97" i="1"/>
  <c r="V97" i="1" s="1"/>
  <c r="FR97" i="1"/>
  <c r="GL97" i="1"/>
  <c r="GO97" i="1"/>
  <c r="GP97" i="1"/>
  <c r="GV97" i="1"/>
  <c r="HC97" i="1" s="1"/>
  <c r="GX97" i="1" s="1"/>
  <c r="C98" i="1"/>
  <c r="D98" i="1"/>
  <c r="I98" i="1"/>
  <c r="AC98" i="1"/>
  <c r="AD98" i="1"/>
  <c r="AB98" i="1" s="1"/>
  <c r="AE98" i="1"/>
  <c r="AF98" i="1"/>
  <c r="CT98" i="1" s="1"/>
  <c r="S98" i="1" s="1"/>
  <c r="AG98" i="1"/>
  <c r="AH98" i="1"/>
  <c r="CV98" i="1" s="1"/>
  <c r="U98" i="1" s="1"/>
  <c r="AI98" i="1"/>
  <c r="AJ98" i="1"/>
  <c r="CX98" i="1" s="1"/>
  <c r="W98" i="1" s="1"/>
  <c r="CQ98" i="1"/>
  <c r="P98" i="1" s="1"/>
  <c r="CS98" i="1"/>
  <c r="R98" i="1" s="1"/>
  <c r="GK98" i="1" s="1"/>
  <c r="CU98" i="1"/>
  <c r="T98" i="1" s="1"/>
  <c r="CW98" i="1"/>
  <c r="V98" i="1" s="1"/>
  <c r="FR98" i="1"/>
  <c r="GL98" i="1"/>
  <c r="GO98" i="1"/>
  <c r="GP98" i="1"/>
  <c r="GV98" i="1"/>
  <c r="HC98" i="1" s="1"/>
  <c r="GX98" i="1" s="1"/>
  <c r="I99" i="1"/>
  <c r="AC99" i="1"/>
  <c r="AD99" i="1"/>
  <c r="CR99" i="1" s="1"/>
  <c r="Q99" i="1" s="1"/>
  <c r="AE99" i="1"/>
  <c r="AF99" i="1"/>
  <c r="AB99" i="1" s="1"/>
  <c r="AG99" i="1"/>
  <c r="AH99" i="1"/>
  <c r="CV99" i="1" s="1"/>
  <c r="U99" i="1" s="1"/>
  <c r="AI99" i="1"/>
  <c r="AJ99" i="1"/>
  <c r="CX99" i="1" s="1"/>
  <c r="W99" i="1" s="1"/>
  <c r="CQ99" i="1"/>
  <c r="P99" i="1" s="1"/>
  <c r="CS99" i="1"/>
  <c r="R99" i="1" s="1"/>
  <c r="GK99" i="1" s="1"/>
  <c r="CU99" i="1"/>
  <c r="T99" i="1" s="1"/>
  <c r="CW99" i="1"/>
  <c r="V99" i="1" s="1"/>
  <c r="FR99" i="1"/>
  <c r="GL99" i="1"/>
  <c r="GO99" i="1"/>
  <c r="GP99" i="1"/>
  <c r="GV99" i="1"/>
  <c r="GX99" i="1"/>
  <c r="HC99" i="1"/>
  <c r="I100" i="1"/>
  <c r="AC100" i="1"/>
  <c r="AD100" i="1"/>
  <c r="AB100" i="1" s="1"/>
  <c r="AE100" i="1"/>
  <c r="AF100" i="1"/>
  <c r="CT100" i="1" s="1"/>
  <c r="S100" i="1" s="1"/>
  <c r="AG100" i="1"/>
  <c r="AH100" i="1"/>
  <c r="CV100" i="1" s="1"/>
  <c r="U100" i="1" s="1"/>
  <c r="AI100" i="1"/>
  <c r="AJ100" i="1"/>
  <c r="CX100" i="1" s="1"/>
  <c r="W100" i="1" s="1"/>
  <c r="CQ100" i="1"/>
  <c r="P100" i="1" s="1"/>
  <c r="CS100" i="1"/>
  <c r="R100" i="1" s="1"/>
  <c r="GK100" i="1" s="1"/>
  <c r="CU100" i="1"/>
  <c r="T100" i="1" s="1"/>
  <c r="CW100" i="1"/>
  <c r="V100" i="1" s="1"/>
  <c r="FR100" i="1"/>
  <c r="GL100" i="1"/>
  <c r="GO100" i="1"/>
  <c r="GP100" i="1"/>
  <c r="GV100" i="1"/>
  <c r="HC100" i="1" s="1"/>
  <c r="GX100" i="1" s="1"/>
  <c r="C101" i="1"/>
  <c r="D101" i="1"/>
  <c r="I101" i="1"/>
  <c r="AC101" i="1"/>
  <c r="AD101" i="1"/>
  <c r="AB101" i="1" s="1"/>
  <c r="AE101" i="1"/>
  <c r="AF101" i="1"/>
  <c r="CT101" i="1" s="1"/>
  <c r="S101" i="1" s="1"/>
  <c r="AG101" i="1"/>
  <c r="AH101" i="1"/>
  <c r="CV101" i="1" s="1"/>
  <c r="U101" i="1" s="1"/>
  <c r="AI101" i="1"/>
  <c r="AJ101" i="1"/>
  <c r="CX101" i="1" s="1"/>
  <c r="W101" i="1" s="1"/>
  <c r="CQ101" i="1"/>
  <c r="P101" i="1" s="1"/>
  <c r="CS101" i="1"/>
  <c r="R101" i="1" s="1"/>
  <c r="GK101" i="1" s="1"/>
  <c r="CU101" i="1"/>
  <c r="T101" i="1" s="1"/>
  <c r="CW101" i="1"/>
  <c r="V101" i="1" s="1"/>
  <c r="FR101" i="1"/>
  <c r="GL101" i="1"/>
  <c r="GO101" i="1"/>
  <c r="GP101" i="1"/>
  <c r="GV101" i="1"/>
  <c r="HC101" i="1" s="1"/>
  <c r="GX101" i="1" s="1"/>
  <c r="C102" i="1"/>
  <c r="D102" i="1"/>
  <c r="I102" i="1"/>
  <c r="AC102" i="1"/>
  <c r="AD102" i="1"/>
  <c r="AB102" i="1" s="1"/>
  <c r="AE102" i="1"/>
  <c r="AF102" i="1"/>
  <c r="CT102" i="1" s="1"/>
  <c r="S102" i="1" s="1"/>
  <c r="AG102" i="1"/>
  <c r="AH102" i="1"/>
  <c r="CV102" i="1" s="1"/>
  <c r="U102" i="1" s="1"/>
  <c r="AI102" i="1"/>
  <c r="AJ102" i="1"/>
  <c r="CX102" i="1" s="1"/>
  <c r="W102" i="1" s="1"/>
  <c r="CQ102" i="1"/>
  <c r="P102" i="1" s="1"/>
  <c r="CS102" i="1"/>
  <c r="R102" i="1" s="1"/>
  <c r="GK102" i="1" s="1"/>
  <c r="CU102" i="1"/>
  <c r="T102" i="1" s="1"/>
  <c r="CW102" i="1"/>
  <c r="V102" i="1" s="1"/>
  <c r="FR102" i="1"/>
  <c r="GL102" i="1"/>
  <c r="GO102" i="1"/>
  <c r="GP102" i="1"/>
  <c r="GV102" i="1"/>
  <c r="HC102" i="1" s="1"/>
  <c r="GX102" i="1" s="1"/>
  <c r="I103" i="1"/>
  <c r="AC103" i="1"/>
  <c r="AD103" i="1"/>
  <c r="CR103" i="1" s="1"/>
  <c r="Q103" i="1" s="1"/>
  <c r="AE103" i="1"/>
  <c r="AF103" i="1"/>
  <c r="AB103" i="1" s="1"/>
  <c r="AG103" i="1"/>
  <c r="AH103" i="1"/>
  <c r="CV103" i="1" s="1"/>
  <c r="U103" i="1" s="1"/>
  <c r="AI103" i="1"/>
  <c r="AJ103" i="1"/>
  <c r="CX103" i="1" s="1"/>
  <c r="W103" i="1" s="1"/>
  <c r="CQ103" i="1"/>
  <c r="P103" i="1" s="1"/>
  <c r="CS103" i="1"/>
  <c r="R103" i="1" s="1"/>
  <c r="GK103" i="1" s="1"/>
  <c r="CU103" i="1"/>
  <c r="T103" i="1" s="1"/>
  <c r="CW103" i="1"/>
  <c r="V103" i="1" s="1"/>
  <c r="FR103" i="1"/>
  <c r="GL103" i="1"/>
  <c r="GO103" i="1"/>
  <c r="GP103" i="1"/>
  <c r="GV103" i="1"/>
  <c r="GX103" i="1"/>
  <c r="HC103" i="1"/>
  <c r="I104" i="1"/>
  <c r="AC104" i="1"/>
  <c r="AD104" i="1"/>
  <c r="AB104" i="1" s="1"/>
  <c r="AE104" i="1"/>
  <c r="AF104" i="1"/>
  <c r="CT104" i="1" s="1"/>
  <c r="S104" i="1" s="1"/>
  <c r="AG104" i="1"/>
  <c r="AH104" i="1"/>
  <c r="CV104" i="1" s="1"/>
  <c r="U104" i="1" s="1"/>
  <c r="AI104" i="1"/>
  <c r="AJ104" i="1"/>
  <c r="CX104" i="1" s="1"/>
  <c r="W104" i="1" s="1"/>
  <c r="CQ104" i="1"/>
  <c r="P104" i="1" s="1"/>
  <c r="CS104" i="1"/>
  <c r="R104" i="1" s="1"/>
  <c r="GK104" i="1" s="1"/>
  <c r="CU104" i="1"/>
  <c r="T104" i="1" s="1"/>
  <c r="CW104" i="1"/>
  <c r="V104" i="1" s="1"/>
  <c r="FR104" i="1"/>
  <c r="GL104" i="1"/>
  <c r="GO104" i="1"/>
  <c r="GP104" i="1"/>
  <c r="GV104" i="1"/>
  <c r="HC104" i="1" s="1"/>
  <c r="GX104" i="1" s="1"/>
  <c r="I105" i="1"/>
  <c r="AC105" i="1"/>
  <c r="AD105" i="1"/>
  <c r="CR105" i="1" s="1"/>
  <c r="Q105" i="1" s="1"/>
  <c r="AE105" i="1"/>
  <c r="AF105" i="1"/>
  <c r="AB105" i="1" s="1"/>
  <c r="AG105" i="1"/>
  <c r="AH105" i="1"/>
  <c r="CV105" i="1" s="1"/>
  <c r="U105" i="1" s="1"/>
  <c r="AI105" i="1"/>
  <c r="AJ105" i="1"/>
  <c r="CX105" i="1" s="1"/>
  <c r="W105" i="1" s="1"/>
  <c r="CQ105" i="1"/>
  <c r="P105" i="1" s="1"/>
  <c r="CS105" i="1"/>
  <c r="R105" i="1" s="1"/>
  <c r="GK105" i="1" s="1"/>
  <c r="CU105" i="1"/>
  <c r="T105" i="1" s="1"/>
  <c r="CW105" i="1"/>
  <c r="V105" i="1" s="1"/>
  <c r="FR105" i="1"/>
  <c r="GL105" i="1"/>
  <c r="GO105" i="1"/>
  <c r="GP105" i="1"/>
  <c r="GV105" i="1"/>
  <c r="GX105" i="1"/>
  <c r="HC105" i="1"/>
  <c r="I106" i="1"/>
  <c r="P106" i="1"/>
  <c r="AC106" i="1"/>
  <c r="AD106" i="1"/>
  <c r="AE106" i="1"/>
  <c r="AF106" i="1"/>
  <c r="CT106" i="1" s="1"/>
  <c r="S106" i="1" s="1"/>
  <c r="CY106" i="1" s="1"/>
  <c r="X106" i="1" s="1"/>
  <c r="AG106" i="1"/>
  <c r="AH106" i="1"/>
  <c r="CV106" i="1" s="1"/>
  <c r="U106" i="1" s="1"/>
  <c r="AI106" i="1"/>
  <c r="AJ106" i="1"/>
  <c r="CX106" i="1" s="1"/>
  <c r="W106" i="1" s="1"/>
  <c r="CQ106" i="1"/>
  <c r="CS106" i="1"/>
  <c r="R106" i="1" s="1"/>
  <c r="GK106" i="1" s="1"/>
  <c r="CU106" i="1"/>
  <c r="T106" i="1" s="1"/>
  <c r="CW106" i="1"/>
  <c r="V106" i="1" s="1"/>
  <c r="FR106" i="1"/>
  <c r="GL106" i="1"/>
  <c r="GO106" i="1"/>
  <c r="GP106" i="1"/>
  <c r="GV106" i="1"/>
  <c r="HC106" i="1" s="1"/>
  <c r="GX106" i="1" s="1"/>
  <c r="C107" i="1"/>
  <c r="D107" i="1"/>
  <c r="I107" i="1"/>
  <c r="P107" i="1"/>
  <c r="AC107" i="1"/>
  <c r="AD107" i="1"/>
  <c r="AE107" i="1"/>
  <c r="AF107" i="1"/>
  <c r="CT107" i="1" s="1"/>
  <c r="S107" i="1" s="1"/>
  <c r="CY107" i="1" s="1"/>
  <c r="X107" i="1" s="1"/>
  <c r="AG107" i="1"/>
  <c r="AH107" i="1"/>
  <c r="CV107" i="1" s="1"/>
  <c r="U107" i="1" s="1"/>
  <c r="AI107" i="1"/>
  <c r="AJ107" i="1"/>
  <c r="CX107" i="1" s="1"/>
  <c r="W107" i="1" s="1"/>
  <c r="CQ107" i="1"/>
  <c r="CS107" i="1"/>
  <c r="R107" i="1" s="1"/>
  <c r="GK107" i="1" s="1"/>
  <c r="CU107" i="1"/>
  <c r="T107" i="1" s="1"/>
  <c r="CW107" i="1"/>
  <c r="V107" i="1" s="1"/>
  <c r="FR107" i="1"/>
  <c r="GL107" i="1"/>
  <c r="GO107" i="1"/>
  <c r="GP107" i="1"/>
  <c r="GV107" i="1"/>
  <c r="HC107" i="1" s="1"/>
  <c r="GX107" i="1"/>
  <c r="I108" i="1"/>
  <c r="GX108" i="1" s="1"/>
  <c r="P108" i="1"/>
  <c r="V108" i="1"/>
  <c r="AC108" i="1"/>
  <c r="AD108" i="1"/>
  <c r="CR108" i="1" s="1"/>
  <c r="Q108" i="1" s="1"/>
  <c r="AE108" i="1"/>
  <c r="AF108" i="1"/>
  <c r="CT108" i="1" s="1"/>
  <c r="AG108" i="1"/>
  <c r="AH108" i="1"/>
  <c r="CV108" i="1" s="1"/>
  <c r="U108" i="1" s="1"/>
  <c r="AI108" i="1"/>
  <c r="AJ108" i="1"/>
  <c r="CX108" i="1" s="1"/>
  <c r="CQ108" i="1"/>
  <c r="CS108" i="1"/>
  <c r="R108" i="1" s="1"/>
  <c r="GK108" i="1" s="1"/>
  <c r="CU108" i="1"/>
  <c r="T108" i="1" s="1"/>
  <c r="CW108" i="1"/>
  <c r="FR108" i="1"/>
  <c r="GL108" i="1"/>
  <c r="GO108" i="1"/>
  <c r="GP108" i="1"/>
  <c r="GV108" i="1"/>
  <c r="HC108" i="1"/>
  <c r="I109" i="1"/>
  <c r="GX109" i="1" s="1"/>
  <c r="P109" i="1"/>
  <c r="V109" i="1"/>
  <c r="AC109" i="1"/>
  <c r="AD109" i="1"/>
  <c r="CR109" i="1" s="1"/>
  <c r="Q109" i="1" s="1"/>
  <c r="AE109" i="1"/>
  <c r="AF109" i="1"/>
  <c r="CT109" i="1" s="1"/>
  <c r="AG109" i="1"/>
  <c r="AH109" i="1"/>
  <c r="CV109" i="1" s="1"/>
  <c r="U109" i="1" s="1"/>
  <c r="AI109" i="1"/>
  <c r="AJ109" i="1"/>
  <c r="CX109" i="1" s="1"/>
  <c r="CQ109" i="1"/>
  <c r="CS109" i="1"/>
  <c r="R109" i="1" s="1"/>
  <c r="GK109" i="1" s="1"/>
  <c r="CU109" i="1"/>
  <c r="T109" i="1" s="1"/>
  <c r="CW109" i="1"/>
  <c r="FR109" i="1"/>
  <c r="GL109" i="1"/>
  <c r="GO109" i="1"/>
  <c r="GP109" i="1"/>
  <c r="GV109" i="1"/>
  <c r="HC109" i="1"/>
  <c r="I110" i="1"/>
  <c r="AC110" i="1"/>
  <c r="AD110" i="1"/>
  <c r="CR110" i="1" s="1"/>
  <c r="Q110" i="1" s="1"/>
  <c r="AE110" i="1"/>
  <c r="AF110" i="1"/>
  <c r="CT110" i="1" s="1"/>
  <c r="S110" i="1" s="1"/>
  <c r="AG110" i="1"/>
  <c r="AH110" i="1"/>
  <c r="CV110" i="1" s="1"/>
  <c r="U110" i="1" s="1"/>
  <c r="AI110" i="1"/>
  <c r="AJ110" i="1"/>
  <c r="CX110" i="1" s="1"/>
  <c r="W110" i="1" s="1"/>
  <c r="CQ110" i="1"/>
  <c r="P110" i="1" s="1"/>
  <c r="CS110" i="1"/>
  <c r="R110" i="1" s="1"/>
  <c r="GK110" i="1" s="1"/>
  <c r="CU110" i="1"/>
  <c r="T110" i="1" s="1"/>
  <c r="CW110" i="1"/>
  <c r="V110" i="1" s="1"/>
  <c r="FR110" i="1"/>
  <c r="GL110" i="1"/>
  <c r="GO110" i="1"/>
  <c r="GP110" i="1"/>
  <c r="GV110" i="1"/>
  <c r="GX110" i="1"/>
  <c r="HC110" i="1"/>
  <c r="I111" i="1"/>
  <c r="AC111" i="1"/>
  <c r="AD111" i="1"/>
  <c r="CR111" i="1" s="1"/>
  <c r="Q111" i="1" s="1"/>
  <c r="AE111" i="1"/>
  <c r="AF111" i="1"/>
  <c r="CT111" i="1" s="1"/>
  <c r="S111" i="1" s="1"/>
  <c r="AG111" i="1"/>
  <c r="AH111" i="1"/>
  <c r="CV111" i="1" s="1"/>
  <c r="U111" i="1" s="1"/>
  <c r="AI111" i="1"/>
  <c r="AJ111" i="1"/>
  <c r="CX111" i="1" s="1"/>
  <c r="W111" i="1" s="1"/>
  <c r="CQ111" i="1"/>
  <c r="P111" i="1" s="1"/>
  <c r="CS111" i="1"/>
  <c r="R111" i="1" s="1"/>
  <c r="GK111" i="1" s="1"/>
  <c r="CU111" i="1"/>
  <c r="T111" i="1" s="1"/>
  <c r="CW111" i="1"/>
  <c r="V111" i="1" s="1"/>
  <c r="FR111" i="1"/>
  <c r="GL111" i="1"/>
  <c r="GO111" i="1"/>
  <c r="GP111" i="1"/>
  <c r="GV111" i="1"/>
  <c r="HC111" i="1" s="1"/>
  <c r="GX111" i="1" s="1"/>
  <c r="C112" i="1"/>
  <c r="D112" i="1"/>
  <c r="I112" i="1"/>
  <c r="AC112" i="1"/>
  <c r="AD112" i="1"/>
  <c r="CR112" i="1" s="1"/>
  <c r="Q112" i="1" s="1"/>
  <c r="AE112" i="1"/>
  <c r="AF112" i="1"/>
  <c r="CT112" i="1" s="1"/>
  <c r="S112" i="1" s="1"/>
  <c r="AG112" i="1"/>
  <c r="AH112" i="1"/>
  <c r="CV112" i="1" s="1"/>
  <c r="U112" i="1" s="1"/>
  <c r="AI112" i="1"/>
  <c r="AJ112" i="1"/>
  <c r="CX112" i="1" s="1"/>
  <c r="W112" i="1" s="1"/>
  <c r="CQ112" i="1"/>
  <c r="P112" i="1" s="1"/>
  <c r="CS112" i="1"/>
  <c r="R112" i="1" s="1"/>
  <c r="GK112" i="1" s="1"/>
  <c r="CU112" i="1"/>
  <c r="T112" i="1" s="1"/>
  <c r="CW112" i="1"/>
  <c r="V112" i="1" s="1"/>
  <c r="FR112" i="1"/>
  <c r="GL112" i="1"/>
  <c r="GO112" i="1"/>
  <c r="GP112" i="1"/>
  <c r="GV112" i="1"/>
  <c r="HC112" i="1" s="1"/>
  <c r="GX112" i="1" s="1"/>
  <c r="AC113" i="1"/>
  <c r="AD113" i="1"/>
  <c r="CR113" i="1" s="1"/>
  <c r="AE113" i="1"/>
  <c r="AF113" i="1"/>
  <c r="CT113" i="1" s="1"/>
  <c r="AG113" i="1"/>
  <c r="AH113" i="1"/>
  <c r="CV113" i="1" s="1"/>
  <c r="AI113" i="1"/>
  <c r="AJ113" i="1"/>
  <c r="CX113" i="1" s="1"/>
  <c r="CQ113" i="1"/>
  <c r="CS113" i="1"/>
  <c r="CU113" i="1"/>
  <c r="CW113" i="1"/>
  <c r="FR113" i="1"/>
  <c r="GL113" i="1"/>
  <c r="GO113" i="1"/>
  <c r="GP113" i="1"/>
  <c r="GV113" i="1"/>
  <c r="HC113" i="1"/>
  <c r="I114" i="1"/>
  <c r="AC114" i="1"/>
  <c r="AD114" i="1"/>
  <c r="CR114" i="1" s="1"/>
  <c r="Q114" i="1" s="1"/>
  <c r="AE114" i="1"/>
  <c r="AF114" i="1"/>
  <c r="CT114" i="1" s="1"/>
  <c r="S114" i="1" s="1"/>
  <c r="AG114" i="1"/>
  <c r="AH114" i="1"/>
  <c r="CV114" i="1" s="1"/>
  <c r="U114" i="1" s="1"/>
  <c r="AI114" i="1"/>
  <c r="AJ114" i="1"/>
  <c r="CX114" i="1" s="1"/>
  <c r="W114" i="1" s="1"/>
  <c r="CQ114" i="1"/>
  <c r="P114" i="1" s="1"/>
  <c r="CS114" i="1"/>
  <c r="R114" i="1" s="1"/>
  <c r="GK114" i="1" s="1"/>
  <c r="CU114" i="1"/>
  <c r="T114" i="1" s="1"/>
  <c r="CW114" i="1"/>
  <c r="V114" i="1" s="1"/>
  <c r="FR114" i="1"/>
  <c r="GL114" i="1"/>
  <c r="GO114" i="1"/>
  <c r="GP114" i="1"/>
  <c r="GV114" i="1"/>
  <c r="HC114" i="1" s="1"/>
  <c r="GX114" i="1" s="1"/>
  <c r="AC115" i="1"/>
  <c r="AD115" i="1"/>
  <c r="CR115" i="1" s="1"/>
  <c r="AE115" i="1"/>
  <c r="AF115" i="1"/>
  <c r="CT115" i="1" s="1"/>
  <c r="AG115" i="1"/>
  <c r="AH115" i="1"/>
  <c r="CV115" i="1" s="1"/>
  <c r="AI115" i="1"/>
  <c r="AJ115" i="1"/>
  <c r="CX115" i="1" s="1"/>
  <c r="CQ115" i="1"/>
  <c r="CS115" i="1"/>
  <c r="CU115" i="1"/>
  <c r="CW115" i="1"/>
  <c r="FR115" i="1"/>
  <c r="GL115" i="1"/>
  <c r="GO115" i="1"/>
  <c r="GP115" i="1"/>
  <c r="GV115" i="1"/>
  <c r="HC115" i="1"/>
  <c r="I116" i="1"/>
  <c r="AC116" i="1"/>
  <c r="AD116" i="1"/>
  <c r="CR116" i="1" s="1"/>
  <c r="Q116" i="1" s="1"/>
  <c r="AE116" i="1"/>
  <c r="AF116" i="1"/>
  <c r="CT116" i="1" s="1"/>
  <c r="S116" i="1" s="1"/>
  <c r="AG116" i="1"/>
  <c r="AH116" i="1"/>
  <c r="CV116" i="1" s="1"/>
  <c r="U116" i="1" s="1"/>
  <c r="AI116" i="1"/>
  <c r="AJ116" i="1"/>
  <c r="CX116" i="1" s="1"/>
  <c r="W116" i="1" s="1"/>
  <c r="CQ116" i="1"/>
  <c r="P116" i="1" s="1"/>
  <c r="CS116" i="1"/>
  <c r="R116" i="1" s="1"/>
  <c r="GK116" i="1" s="1"/>
  <c r="CU116" i="1"/>
  <c r="T116" i="1" s="1"/>
  <c r="CW116" i="1"/>
  <c r="V116" i="1" s="1"/>
  <c r="FR116" i="1"/>
  <c r="GL116" i="1"/>
  <c r="GO116" i="1"/>
  <c r="GP116" i="1"/>
  <c r="GV116" i="1"/>
  <c r="HC116" i="1" s="1"/>
  <c r="GX116" i="1" s="1"/>
  <c r="C117" i="1"/>
  <c r="D117" i="1"/>
  <c r="I117" i="1"/>
  <c r="AC117" i="1"/>
  <c r="AD117" i="1"/>
  <c r="CR117" i="1" s="1"/>
  <c r="Q117" i="1" s="1"/>
  <c r="AE117" i="1"/>
  <c r="AF117" i="1"/>
  <c r="CT117" i="1" s="1"/>
  <c r="S117" i="1" s="1"/>
  <c r="AG117" i="1"/>
  <c r="AH117" i="1"/>
  <c r="CV117" i="1" s="1"/>
  <c r="U117" i="1" s="1"/>
  <c r="AI117" i="1"/>
  <c r="AJ117" i="1"/>
  <c r="CX117" i="1" s="1"/>
  <c r="W117" i="1" s="1"/>
  <c r="CQ117" i="1"/>
  <c r="P117" i="1" s="1"/>
  <c r="CS117" i="1"/>
  <c r="R117" i="1" s="1"/>
  <c r="GK117" i="1" s="1"/>
  <c r="CU117" i="1"/>
  <c r="T117" i="1" s="1"/>
  <c r="CW117" i="1"/>
  <c r="V117" i="1" s="1"/>
  <c r="FR117" i="1"/>
  <c r="GL117" i="1"/>
  <c r="GO117" i="1"/>
  <c r="GP117" i="1"/>
  <c r="GV117" i="1"/>
  <c r="HC117" i="1" s="1"/>
  <c r="GX117" i="1" s="1"/>
  <c r="AC118" i="1"/>
  <c r="AD118" i="1"/>
  <c r="AE118" i="1"/>
  <c r="AF118" i="1"/>
  <c r="CT118" i="1" s="1"/>
  <c r="AG118" i="1"/>
  <c r="AH118" i="1"/>
  <c r="CV118" i="1" s="1"/>
  <c r="AI118" i="1"/>
  <c r="AJ118" i="1"/>
  <c r="CX118" i="1" s="1"/>
  <c r="CQ118" i="1"/>
  <c r="CS118" i="1"/>
  <c r="CU118" i="1"/>
  <c r="CW118" i="1"/>
  <c r="FR118" i="1"/>
  <c r="GL118" i="1"/>
  <c r="GO118" i="1"/>
  <c r="GP118" i="1"/>
  <c r="GV118" i="1"/>
  <c r="HC118" i="1"/>
  <c r="I119" i="1"/>
  <c r="V119" i="1"/>
  <c r="AC119" i="1"/>
  <c r="AD119" i="1"/>
  <c r="CR119" i="1" s="1"/>
  <c r="AE119" i="1"/>
  <c r="AF119" i="1"/>
  <c r="CT119" i="1" s="1"/>
  <c r="AG119" i="1"/>
  <c r="AH119" i="1"/>
  <c r="CV119" i="1" s="1"/>
  <c r="AI119" i="1"/>
  <c r="AJ119" i="1"/>
  <c r="CX119" i="1" s="1"/>
  <c r="CQ119" i="1"/>
  <c r="P119" i="1" s="1"/>
  <c r="CS119" i="1"/>
  <c r="R119" i="1" s="1"/>
  <c r="GK119" i="1" s="1"/>
  <c r="CU119" i="1"/>
  <c r="T119" i="1" s="1"/>
  <c r="CW119" i="1"/>
  <c r="FR119" i="1"/>
  <c r="GL119" i="1"/>
  <c r="GO119" i="1"/>
  <c r="GP119" i="1"/>
  <c r="GV119" i="1"/>
  <c r="HC119" i="1" s="1"/>
  <c r="GX119" i="1"/>
  <c r="AC120" i="1"/>
  <c r="AD120" i="1"/>
  <c r="AE120" i="1"/>
  <c r="AF120" i="1"/>
  <c r="CT120" i="1" s="1"/>
  <c r="AG120" i="1"/>
  <c r="AH120" i="1"/>
  <c r="CV120" i="1" s="1"/>
  <c r="AI120" i="1"/>
  <c r="AJ120" i="1"/>
  <c r="CX120" i="1" s="1"/>
  <c r="CQ120" i="1"/>
  <c r="CS120" i="1"/>
  <c r="CU120" i="1"/>
  <c r="CW120" i="1"/>
  <c r="FR120" i="1"/>
  <c r="GL120" i="1"/>
  <c r="GO120" i="1"/>
  <c r="GP120" i="1"/>
  <c r="GV120" i="1"/>
  <c r="HC120" i="1"/>
  <c r="I121" i="1"/>
  <c r="GX121" i="1" s="1"/>
  <c r="R121" i="1"/>
  <c r="GK121" i="1" s="1"/>
  <c r="AC121" i="1"/>
  <c r="AD121" i="1"/>
  <c r="CR121" i="1" s="1"/>
  <c r="Q121" i="1" s="1"/>
  <c r="AE121" i="1"/>
  <c r="AF121" i="1"/>
  <c r="CT121" i="1" s="1"/>
  <c r="S121" i="1" s="1"/>
  <c r="AG121" i="1"/>
  <c r="AH121" i="1"/>
  <c r="CV121" i="1" s="1"/>
  <c r="U121" i="1" s="1"/>
  <c r="AI121" i="1"/>
  <c r="AJ121" i="1"/>
  <c r="CX121" i="1" s="1"/>
  <c r="W121" i="1" s="1"/>
  <c r="CQ121" i="1"/>
  <c r="P121" i="1" s="1"/>
  <c r="CS121" i="1"/>
  <c r="CU121" i="1"/>
  <c r="CW121" i="1"/>
  <c r="V121" i="1" s="1"/>
  <c r="FR121" i="1"/>
  <c r="GL121" i="1"/>
  <c r="GO121" i="1"/>
  <c r="GP121" i="1"/>
  <c r="GV121" i="1"/>
  <c r="HC121" i="1"/>
  <c r="AC122" i="1"/>
  <c r="AD122" i="1"/>
  <c r="AE122" i="1"/>
  <c r="AF122" i="1"/>
  <c r="CT122" i="1" s="1"/>
  <c r="AG122" i="1"/>
  <c r="AH122" i="1"/>
  <c r="CV122" i="1" s="1"/>
  <c r="AI122" i="1"/>
  <c r="AJ122" i="1"/>
  <c r="CX122" i="1" s="1"/>
  <c r="CQ122" i="1"/>
  <c r="CS122" i="1"/>
  <c r="CU122" i="1"/>
  <c r="CW122" i="1"/>
  <c r="FR122" i="1"/>
  <c r="GL122" i="1"/>
  <c r="GO122" i="1"/>
  <c r="GP122" i="1"/>
  <c r="GV122" i="1"/>
  <c r="HC122" i="1"/>
  <c r="I123" i="1"/>
  <c r="AC123" i="1"/>
  <c r="AD123" i="1"/>
  <c r="CR123" i="1" s="1"/>
  <c r="Q123" i="1" s="1"/>
  <c r="AE123" i="1"/>
  <c r="AF123" i="1"/>
  <c r="CT123" i="1" s="1"/>
  <c r="S123" i="1" s="1"/>
  <c r="AG123" i="1"/>
  <c r="AH123" i="1"/>
  <c r="CV123" i="1" s="1"/>
  <c r="U123" i="1" s="1"/>
  <c r="AI123" i="1"/>
  <c r="AJ123" i="1"/>
  <c r="CX123" i="1" s="1"/>
  <c r="W123" i="1" s="1"/>
  <c r="CQ123" i="1"/>
  <c r="P123" i="1" s="1"/>
  <c r="CS123" i="1"/>
  <c r="R123" i="1" s="1"/>
  <c r="GK123" i="1" s="1"/>
  <c r="CU123" i="1"/>
  <c r="T123" i="1" s="1"/>
  <c r="CW123" i="1"/>
  <c r="V123" i="1" s="1"/>
  <c r="FR123" i="1"/>
  <c r="GL123" i="1"/>
  <c r="GO123" i="1"/>
  <c r="GP123" i="1"/>
  <c r="GV123" i="1"/>
  <c r="GX123" i="1"/>
  <c r="HC123" i="1"/>
  <c r="AC124" i="1"/>
  <c r="AD124" i="1"/>
  <c r="AE124" i="1"/>
  <c r="AF124" i="1"/>
  <c r="CT124" i="1" s="1"/>
  <c r="AG124" i="1"/>
  <c r="AH124" i="1"/>
  <c r="CV124" i="1" s="1"/>
  <c r="AI124" i="1"/>
  <c r="AJ124" i="1"/>
  <c r="CX124" i="1" s="1"/>
  <c r="CQ124" i="1"/>
  <c r="CS124" i="1"/>
  <c r="CU124" i="1"/>
  <c r="CW124" i="1"/>
  <c r="FR124" i="1"/>
  <c r="GL124" i="1"/>
  <c r="GO124" i="1"/>
  <c r="GP124" i="1"/>
  <c r="GV124" i="1"/>
  <c r="HC124" i="1"/>
  <c r="I125" i="1"/>
  <c r="AC125" i="1"/>
  <c r="AD125" i="1"/>
  <c r="CR125" i="1" s="1"/>
  <c r="Q125" i="1" s="1"/>
  <c r="AE125" i="1"/>
  <c r="AF125" i="1"/>
  <c r="CT125" i="1" s="1"/>
  <c r="S125" i="1" s="1"/>
  <c r="AG125" i="1"/>
  <c r="AH125" i="1"/>
  <c r="CV125" i="1" s="1"/>
  <c r="U125" i="1" s="1"/>
  <c r="AI125" i="1"/>
  <c r="AJ125" i="1"/>
  <c r="CX125" i="1" s="1"/>
  <c r="W125" i="1" s="1"/>
  <c r="CQ125" i="1"/>
  <c r="P125" i="1" s="1"/>
  <c r="CS125" i="1"/>
  <c r="R125" i="1" s="1"/>
  <c r="GK125" i="1" s="1"/>
  <c r="CU125" i="1"/>
  <c r="CW125" i="1"/>
  <c r="V125" i="1" s="1"/>
  <c r="FR125" i="1"/>
  <c r="GL125" i="1"/>
  <c r="GO125" i="1"/>
  <c r="GP125" i="1"/>
  <c r="GV125" i="1"/>
  <c r="GX125" i="1"/>
  <c r="HC125" i="1"/>
  <c r="I126" i="1"/>
  <c r="V126" i="1"/>
  <c r="AC126" i="1"/>
  <c r="AD126" i="1"/>
  <c r="AE126" i="1"/>
  <c r="AF126" i="1"/>
  <c r="CT126" i="1" s="1"/>
  <c r="AG126" i="1"/>
  <c r="AH126" i="1"/>
  <c r="CV126" i="1" s="1"/>
  <c r="AI126" i="1"/>
  <c r="AJ126" i="1"/>
  <c r="CX126" i="1" s="1"/>
  <c r="CQ126" i="1"/>
  <c r="P126" i="1" s="1"/>
  <c r="CS126" i="1"/>
  <c r="CU126" i="1"/>
  <c r="CW126" i="1"/>
  <c r="FR126" i="1"/>
  <c r="GL126" i="1"/>
  <c r="GO126" i="1"/>
  <c r="GP126" i="1"/>
  <c r="GV126" i="1"/>
  <c r="HC126" i="1"/>
  <c r="I127" i="1"/>
  <c r="V127" i="1"/>
  <c r="AC127" i="1"/>
  <c r="AD127" i="1"/>
  <c r="AE127" i="1"/>
  <c r="AF127" i="1"/>
  <c r="CT127" i="1" s="1"/>
  <c r="AG127" i="1"/>
  <c r="AH127" i="1"/>
  <c r="CV127" i="1" s="1"/>
  <c r="AI127" i="1"/>
  <c r="AJ127" i="1"/>
  <c r="CX127" i="1" s="1"/>
  <c r="CQ127" i="1"/>
  <c r="P127" i="1" s="1"/>
  <c r="CS127" i="1"/>
  <c r="CU127" i="1"/>
  <c r="CW127" i="1"/>
  <c r="FR127" i="1"/>
  <c r="GL127" i="1"/>
  <c r="GO127" i="1"/>
  <c r="GP127" i="1"/>
  <c r="GV127" i="1"/>
  <c r="HC127" i="1"/>
  <c r="I128" i="1"/>
  <c r="V128" i="1"/>
  <c r="AC128" i="1"/>
  <c r="AD128" i="1"/>
  <c r="AE128" i="1"/>
  <c r="AF128" i="1"/>
  <c r="CT128" i="1" s="1"/>
  <c r="AG128" i="1"/>
  <c r="AH128" i="1"/>
  <c r="CV128" i="1" s="1"/>
  <c r="AI128" i="1"/>
  <c r="AJ128" i="1"/>
  <c r="CX128" i="1" s="1"/>
  <c r="CQ128" i="1"/>
  <c r="P128" i="1" s="1"/>
  <c r="CS128" i="1"/>
  <c r="R128" i="1" s="1"/>
  <c r="GK128" i="1" s="1"/>
  <c r="CU128" i="1"/>
  <c r="CW128" i="1"/>
  <c r="FR128" i="1"/>
  <c r="GL128" i="1"/>
  <c r="GO128" i="1"/>
  <c r="GP128" i="1"/>
  <c r="GV128" i="1"/>
  <c r="HC128" i="1"/>
  <c r="I129" i="1"/>
  <c r="V129" i="1"/>
  <c r="AC129" i="1"/>
  <c r="AD129" i="1"/>
  <c r="AE129" i="1"/>
  <c r="AF129" i="1"/>
  <c r="CT129" i="1" s="1"/>
  <c r="AG129" i="1"/>
  <c r="AH129" i="1"/>
  <c r="CV129" i="1" s="1"/>
  <c r="U129" i="1" s="1"/>
  <c r="AI129" i="1"/>
  <c r="AJ129" i="1"/>
  <c r="CX129" i="1" s="1"/>
  <c r="CQ129" i="1"/>
  <c r="P129" i="1" s="1"/>
  <c r="CS129" i="1"/>
  <c r="R129" i="1" s="1"/>
  <c r="GK129" i="1" s="1"/>
  <c r="CU129" i="1"/>
  <c r="CW129" i="1"/>
  <c r="FR129" i="1"/>
  <c r="GL129" i="1"/>
  <c r="GO129" i="1"/>
  <c r="GP129" i="1"/>
  <c r="GV129" i="1"/>
  <c r="HC129" i="1"/>
  <c r="C130" i="1"/>
  <c r="D130" i="1"/>
  <c r="I130" i="1"/>
  <c r="I132" i="1" s="1"/>
  <c r="R130" i="1"/>
  <c r="V130" i="1"/>
  <c r="AC130" i="1"/>
  <c r="AD130" i="1"/>
  <c r="AE130" i="1"/>
  <c r="AF130" i="1"/>
  <c r="AB130" i="1" s="1"/>
  <c r="AG130" i="1"/>
  <c r="AH130" i="1"/>
  <c r="AI130" i="1"/>
  <c r="AJ130" i="1"/>
  <c r="CQ130" i="1"/>
  <c r="P130" i="1" s="1"/>
  <c r="CR130" i="1"/>
  <c r="Q130" i="1" s="1"/>
  <c r="CS130" i="1"/>
  <c r="CT130" i="1"/>
  <c r="S130" i="1" s="1"/>
  <c r="CU130" i="1"/>
  <c r="T130" i="1" s="1"/>
  <c r="CV130" i="1"/>
  <c r="U130" i="1" s="1"/>
  <c r="CW130" i="1"/>
  <c r="CX130" i="1"/>
  <c r="W130" i="1" s="1"/>
  <c r="FR130" i="1"/>
  <c r="GK130" i="1"/>
  <c r="GL130" i="1"/>
  <c r="GO130" i="1"/>
  <c r="CC152" i="1" s="1"/>
  <c r="GP130" i="1"/>
  <c r="GV130" i="1"/>
  <c r="HC130" i="1"/>
  <c r="GX130" i="1" s="1"/>
  <c r="AC131" i="1"/>
  <c r="CQ131" i="1" s="1"/>
  <c r="AE131" i="1"/>
  <c r="AF131" i="1"/>
  <c r="AG131" i="1"/>
  <c r="CU131" i="1" s="1"/>
  <c r="AH131" i="1"/>
  <c r="AI131" i="1"/>
  <c r="CW131" i="1" s="1"/>
  <c r="AJ131" i="1"/>
  <c r="CT131" i="1"/>
  <c r="CV131" i="1"/>
  <c r="CX131" i="1"/>
  <c r="FR131" i="1"/>
  <c r="GL131" i="1"/>
  <c r="GO131" i="1"/>
  <c r="GP131" i="1"/>
  <c r="GV131" i="1"/>
  <c r="HC131" i="1" s="1"/>
  <c r="AC132" i="1"/>
  <c r="AE132" i="1"/>
  <c r="CS132" i="1" s="1"/>
  <c r="R132" i="1" s="1"/>
  <c r="AF132" i="1"/>
  <c r="AG132" i="1"/>
  <c r="CU132" i="1" s="1"/>
  <c r="AH132" i="1"/>
  <c r="AI132" i="1"/>
  <c r="CW132" i="1" s="1"/>
  <c r="V132" i="1" s="1"/>
  <c r="AJ132" i="1"/>
  <c r="CT132" i="1"/>
  <c r="S132" i="1" s="1"/>
  <c r="CV132" i="1"/>
  <c r="U132" i="1" s="1"/>
  <c r="CX132" i="1"/>
  <c r="W132" i="1" s="1"/>
  <c r="FR132" i="1"/>
  <c r="GK132" i="1"/>
  <c r="GL132" i="1"/>
  <c r="GO132" i="1"/>
  <c r="GP132" i="1"/>
  <c r="GV132" i="1"/>
  <c r="HC132" i="1"/>
  <c r="GX132" i="1" s="1"/>
  <c r="AC133" i="1"/>
  <c r="CQ133" i="1" s="1"/>
  <c r="AE133" i="1"/>
  <c r="AF133" i="1"/>
  <c r="AG133" i="1"/>
  <c r="CU133" i="1" s="1"/>
  <c r="AH133" i="1"/>
  <c r="AI133" i="1"/>
  <c r="CW133" i="1" s="1"/>
  <c r="AJ133" i="1"/>
  <c r="CT133" i="1"/>
  <c r="CV133" i="1"/>
  <c r="CX133" i="1"/>
  <c r="FR133" i="1"/>
  <c r="GL133" i="1"/>
  <c r="GO133" i="1"/>
  <c r="GP133" i="1"/>
  <c r="GV133" i="1"/>
  <c r="HC133" i="1" s="1"/>
  <c r="I134" i="1"/>
  <c r="S134" i="1"/>
  <c r="AC134" i="1"/>
  <c r="AE134" i="1"/>
  <c r="CS134" i="1" s="1"/>
  <c r="R134" i="1" s="1"/>
  <c r="GK134" i="1" s="1"/>
  <c r="AF134" i="1"/>
  <c r="AG134" i="1"/>
  <c r="CU134" i="1" s="1"/>
  <c r="T134" i="1" s="1"/>
  <c r="AH134" i="1"/>
  <c r="AI134" i="1"/>
  <c r="CW134" i="1" s="1"/>
  <c r="V134" i="1" s="1"/>
  <c r="AJ134" i="1"/>
  <c r="CT134" i="1"/>
  <c r="CV134" i="1"/>
  <c r="U134" i="1" s="1"/>
  <c r="CX134" i="1"/>
  <c r="W134" i="1" s="1"/>
  <c r="FR134" i="1"/>
  <c r="GL134" i="1"/>
  <c r="GO134" i="1"/>
  <c r="GP134" i="1"/>
  <c r="GV134" i="1"/>
  <c r="HC134" i="1"/>
  <c r="GX134" i="1" s="1"/>
  <c r="I135" i="1"/>
  <c r="AC135" i="1"/>
  <c r="CQ135" i="1" s="1"/>
  <c r="P135" i="1" s="1"/>
  <c r="AE135" i="1"/>
  <c r="AF135" i="1"/>
  <c r="AG135" i="1"/>
  <c r="CU135" i="1" s="1"/>
  <c r="T135" i="1" s="1"/>
  <c r="AH135" i="1"/>
  <c r="AI135" i="1"/>
  <c r="CW135" i="1" s="1"/>
  <c r="V135" i="1" s="1"/>
  <c r="AJ135" i="1"/>
  <c r="CT135" i="1"/>
  <c r="S135" i="1" s="1"/>
  <c r="CV135" i="1"/>
  <c r="U135" i="1" s="1"/>
  <c r="CX135" i="1"/>
  <c r="W135" i="1" s="1"/>
  <c r="FR135" i="1"/>
  <c r="GL135" i="1"/>
  <c r="GO135" i="1"/>
  <c r="GP135" i="1"/>
  <c r="GV135" i="1"/>
  <c r="HC135" i="1" s="1"/>
  <c r="GX135" i="1" s="1"/>
  <c r="C136" i="1"/>
  <c r="D136" i="1"/>
  <c r="I136" i="1"/>
  <c r="AC136" i="1"/>
  <c r="CQ136" i="1" s="1"/>
  <c r="P136" i="1" s="1"/>
  <c r="AE136" i="1"/>
  <c r="AF136" i="1"/>
  <c r="AG136" i="1"/>
  <c r="CU136" i="1" s="1"/>
  <c r="T136" i="1" s="1"/>
  <c r="AH136" i="1"/>
  <c r="AI136" i="1"/>
  <c r="CW136" i="1" s="1"/>
  <c r="V136" i="1" s="1"/>
  <c r="AJ136" i="1"/>
  <c r="CT136" i="1"/>
  <c r="S136" i="1" s="1"/>
  <c r="CV136" i="1"/>
  <c r="U136" i="1" s="1"/>
  <c r="CX136" i="1"/>
  <c r="W136" i="1" s="1"/>
  <c r="FR136" i="1"/>
  <c r="GL136" i="1"/>
  <c r="GO136" i="1"/>
  <c r="GP136" i="1"/>
  <c r="GV136" i="1"/>
  <c r="HC136" i="1" s="1"/>
  <c r="GX136" i="1" s="1"/>
  <c r="I137" i="1"/>
  <c r="S137" i="1"/>
  <c r="AC137" i="1"/>
  <c r="AE137" i="1"/>
  <c r="CS137" i="1" s="1"/>
  <c r="R137" i="1" s="1"/>
  <c r="GK137" i="1" s="1"/>
  <c r="AF137" i="1"/>
  <c r="AG137" i="1"/>
  <c r="CU137" i="1" s="1"/>
  <c r="T137" i="1" s="1"/>
  <c r="AH137" i="1"/>
  <c r="AI137" i="1"/>
  <c r="CW137" i="1" s="1"/>
  <c r="V137" i="1" s="1"/>
  <c r="AJ137" i="1"/>
  <c r="CT137" i="1"/>
  <c r="CV137" i="1"/>
  <c r="U137" i="1" s="1"/>
  <c r="CX137" i="1"/>
  <c r="W137" i="1" s="1"/>
  <c r="FR137" i="1"/>
  <c r="GL137" i="1"/>
  <c r="GO137" i="1"/>
  <c r="GP137" i="1"/>
  <c r="GV137" i="1"/>
  <c r="HC137" i="1"/>
  <c r="GX137" i="1" s="1"/>
  <c r="I138" i="1"/>
  <c r="AC138" i="1"/>
  <c r="CQ138" i="1" s="1"/>
  <c r="P138" i="1" s="1"/>
  <c r="AE138" i="1"/>
  <c r="AF138" i="1"/>
  <c r="AG138" i="1"/>
  <c r="CU138" i="1" s="1"/>
  <c r="T138" i="1" s="1"/>
  <c r="AH138" i="1"/>
  <c r="AI138" i="1"/>
  <c r="CW138" i="1" s="1"/>
  <c r="V138" i="1" s="1"/>
  <c r="AJ138" i="1"/>
  <c r="CT138" i="1"/>
  <c r="S138" i="1" s="1"/>
  <c r="CV138" i="1"/>
  <c r="U138" i="1" s="1"/>
  <c r="CX138" i="1"/>
  <c r="W138" i="1" s="1"/>
  <c r="FR138" i="1"/>
  <c r="GL138" i="1"/>
  <c r="GO138" i="1"/>
  <c r="GP138" i="1"/>
  <c r="GV138" i="1"/>
  <c r="HC138" i="1" s="1"/>
  <c r="GX138" i="1" s="1"/>
  <c r="I139" i="1"/>
  <c r="S139" i="1"/>
  <c r="AC139" i="1"/>
  <c r="AE139" i="1"/>
  <c r="CS139" i="1" s="1"/>
  <c r="R139" i="1" s="1"/>
  <c r="GK139" i="1" s="1"/>
  <c r="AF139" i="1"/>
  <c r="AG139" i="1"/>
  <c r="CU139" i="1" s="1"/>
  <c r="T139" i="1" s="1"/>
  <c r="AH139" i="1"/>
  <c r="AI139" i="1"/>
  <c r="CW139" i="1" s="1"/>
  <c r="V139" i="1" s="1"/>
  <c r="AJ139" i="1"/>
  <c r="CT139" i="1"/>
  <c r="CV139" i="1"/>
  <c r="U139" i="1" s="1"/>
  <c r="CX139" i="1"/>
  <c r="W139" i="1" s="1"/>
  <c r="FR139" i="1"/>
  <c r="GL139" i="1"/>
  <c r="GO139" i="1"/>
  <c r="GP139" i="1"/>
  <c r="GV139" i="1"/>
  <c r="HC139" i="1"/>
  <c r="GX139" i="1" s="1"/>
  <c r="I140" i="1"/>
  <c r="AC140" i="1"/>
  <c r="CQ140" i="1" s="1"/>
  <c r="P140" i="1" s="1"/>
  <c r="AE140" i="1"/>
  <c r="AF140" i="1"/>
  <c r="AG140" i="1"/>
  <c r="CU140" i="1" s="1"/>
  <c r="T140" i="1" s="1"/>
  <c r="AH140" i="1"/>
  <c r="AI140" i="1"/>
  <c r="CW140" i="1" s="1"/>
  <c r="V140" i="1" s="1"/>
  <c r="AJ140" i="1"/>
  <c r="CT140" i="1"/>
  <c r="S140" i="1" s="1"/>
  <c r="CV140" i="1"/>
  <c r="U140" i="1" s="1"/>
  <c r="CX140" i="1"/>
  <c r="W140" i="1" s="1"/>
  <c r="FR140" i="1"/>
  <c r="GL140" i="1"/>
  <c r="GO140" i="1"/>
  <c r="GP140" i="1"/>
  <c r="GV140" i="1"/>
  <c r="HC140" i="1" s="1"/>
  <c r="GX140" i="1" s="1"/>
  <c r="I141" i="1"/>
  <c r="S141" i="1"/>
  <c r="AC141" i="1"/>
  <c r="AE141" i="1"/>
  <c r="CS141" i="1" s="1"/>
  <c r="R141" i="1" s="1"/>
  <c r="GK141" i="1" s="1"/>
  <c r="AF141" i="1"/>
  <c r="AG141" i="1"/>
  <c r="CU141" i="1" s="1"/>
  <c r="T141" i="1" s="1"/>
  <c r="AH141" i="1"/>
  <c r="AI141" i="1"/>
  <c r="CW141" i="1" s="1"/>
  <c r="V141" i="1" s="1"/>
  <c r="AJ141" i="1"/>
  <c r="CT141" i="1"/>
  <c r="CV141" i="1"/>
  <c r="U141" i="1" s="1"/>
  <c r="CX141" i="1"/>
  <c r="W141" i="1" s="1"/>
  <c r="FR141" i="1"/>
  <c r="GL141" i="1"/>
  <c r="GO141" i="1"/>
  <c r="GP141" i="1"/>
  <c r="GV141" i="1"/>
  <c r="HC141" i="1"/>
  <c r="GX141" i="1" s="1"/>
  <c r="I142" i="1"/>
  <c r="AC142" i="1"/>
  <c r="AE142" i="1"/>
  <c r="AF142" i="1"/>
  <c r="AG142" i="1"/>
  <c r="AH142" i="1"/>
  <c r="AI142" i="1"/>
  <c r="CW142" i="1" s="1"/>
  <c r="V142" i="1" s="1"/>
  <c r="AJ142" i="1"/>
  <c r="CQ142" i="1"/>
  <c r="P142" i="1" s="1"/>
  <c r="CT142" i="1"/>
  <c r="S142" i="1" s="1"/>
  <c r="CU142" i="1"/>
  <c r="T142" i="1" s="1"/>
  <c r="CV142" i="1"/>
  <c r="U142" i="1" s="1"/>
  <c r="CX142" i="1"/>
  <c r="W142" i="1" s="1"/>
  <c r="FR142" i="1"/>
  <c r="GL142" i="1"/>
  <c r="GO142" i="1"/>
  <c r="GP142" i="1"/>
  <c r="GV142" i="1"/>
  <c r="HC142" i="1" s="1"/>
  <c r="GX142" i="1" s="1"/>
  <c r="I143" i="1"/>
  <c r="W143" i="1"/>
  <c r="AC143" i="1"/>
  <c r="AE143" i="1"/>
  <c r="AD143" i="1" s="1"/>
  <c r="CR143" i="1" s="1"/>
  <c r="Q143" i="1" s="1"/>
  <c r="AF143" i="1"/>
  <c r="AG143" i="1"/>
  <c r="CU143" i="1" s="1"/>
  <c r="T143" i="1" s="1"/>
  <c r="AH143" i="1"/>
  <c r="AI143" i="1"/>
  <c r="AJ143" i="1"/>
  <c r="CS143" i="1"/>
  <c r="R143" i="1" s="1"/>
  <c r="GK143" i="1" s="1"/>
  <c r="CT143" i="1"/>
  <c r="S143" i="1" s="1"/>
  <c r="CV143" i="1"/>
  <c r="U143" i="1" s="1"/>
  <c r="CW143" i="1"/>
  <c r="V143" i="1" s="1"/>
  <c r="CX143" i="1"/>
  <c r="FR143" i="1"/>
  <c r="GL143" i="1"/>
  <c r="GO143" i="1"/>
  <c r="GP143" i="1"/>
  <c r="GV143" i="1"/>
  <c r="HC143" i="1"/>
  <c r="GX143" i="1" s="1"/>
  <c r="I144" i="1"/>
  <c r="AC144" i="1"/>
  <c r="AE144" i="1"/>
  <c r="AF144" i="1"/>
  <c r="AG144" i="1"/>
  <c r="AH144" i="1"/>
  <c r="AI144" i="1"/>
  <c r="CW144" i="1" s="1"/>
  <c r="V144" i="1" s="1"/>
  <c r="AJ144" i="1"/>
  <c r="CQ144" i="1"/>
  <c r="P144" i="1" s="1"/>
  <c r="CT144" i="1"/>
  <c r="S144" i="1" s="1"/>
  <c r="CU144" i="1"/>
  <c r="T144" i="1" s="1"/>
  <c r="CV144" i="1"/>
  <c r="U144" i="1" s="1"/>
  <c r="CX144" i="1"/>
  <c r="W144" i="1" s="1"/>
  <c r="FR144" i="1"/>
  <c r="GL144" i="1"/>
  <c r="GO144" i="1"/>
  <c r="GP144" i="1"/>
  <c r="GV144" i="1"/>
  <c r="HC144" i="1" s="1"/>
  <c r="GX144" i="1" s="1"/>
  <c r="C145" i="1"/>
  <c r="D145" i="1"/>
  <c r="I145" i="1"/>
  <c r="AC145" i="1"/>
  <c r="AE145" i="1"/>
  <c r="AF145" i="1"/>
  <c r="CT145" i="1" s="1"/>
  <c r="S145" i="1" s="1"/>
  <c r="AG145" i="1"/>
  <c r="AH145" i="1"/>
  <c r="AI145" i="1"/>
  <c r="CW145" i="1" s="1"/>
  <c r="V145" i="1" s="1"/>
  <c r="AJ145" i="1"/>
  <c r="CX145" i="1" s="1"/>
  <c r="W145" i="1" s="1"/>
  <c r="CQ145" i="1"/>
  <c r="P145" i="1" s="1"/>
  <c r="CU145" i="1"/>
  <c r="T145" i="1" s="1"/>
  <c r="CV145" i="1"/>
  <c r="U145" i="1" s="1"/>
  <c r="FR145" i="1"/>
  <c r="GL145" i="1"/>
  <c r="GO145" i="1"/>
  <c r="GP145" i="1"/>
  <c r="GV145" i="1"/>
  <c r="HC145" i="1" s="1"/>
  <c r="GX145" i="1" s="1"/>
  <c r="I146" i="1"/>
  <c r="W146" i="1"/>
  <c r="AC146" i="1"/>
  <c r="AD146" i="1"/>
  <c r="CR146" i="1" s="1"/>
  <c r="Q146" i="1" s="1"/>
  <c r="AE146" i="1"/>
  <c r="AF146" i="1"/>
  <c r="AG146" i="1"/>
  <c r="CU146" i="1" s="1"/>
  <c r="T146" i="1" s="1"/>
  <c r="AH146" i="1"/>
  <c r="CV146" i="1" s="1"/>
  <c r="U146" i="1" s="1"/>
  <c r="AI146" i="1"/>
  <c r="AJ146" i="1"/>
  <c r="CS146" i="1"/>
  <c r="R146" i="1" s="1"/>
  <c r="GK146" i="1" s="1"/>
  <c r="CT146" i="1"/>
  <c r="S146" i="1" s="1"/>
  <c r="CW146" i="1"/>
  <c r="V146" i="1" s="1"/>
  <c r="CX146" i="1"/>
  <c r="FR146" i="1"/>
  <c r="GL146" i="1"/>
  <c r="GO146" i="1"/>
  <c r="GP146" i="1"/>
  <c r="GV146" i="1"/>
  <c r="HC146" i="1"/>
  <c r="GX146" i="1" s="1"/>
  <c r="I147" i="1"/>
  <c r="AC147" i="1"/>
  <c r="AE147" i="1"/>
  <c r="AF147" i="1"/>
  <c r="CT147" i="1" s="1"/>
  <c r="S147" i="1" s="1"/>
  <c r="AG147" i="1"/>
  <c r="AH147" i="1"/>
  <c r="AI147" i="1"/>
  <c r="CW147" i="1" s="1"/>
  <c r="V147" i="1" s="1"/>
  <c r="AJ147" i="1"/>
  <c r="CX147" i="1" s="1"/>
  <c r="W147" i="1" s="1"/>
  <c r="CQ147" i="1"/>
  <c r="P147" i="1" s="1"/>
  <c r="CU147" i="1"/>
  <c r="T147" i="1" s="1"/>
  <c r="CV147" i="1"/>
  <c r="U147" i="1" s="1"/>
  <c r="FR147" i="1"/>
  <c r="GL147" i="1"/>
  <c r="GO147" i="1"/>
  <c r="GP147" i="1"/>
  <c r="GV147" i="1"/>
  <c r="HC147" i="1" s="1"/>
  <c r="GX147" i="1" s="1"/>
  <c r="C148" i="1"/>
  <c r="D148" i="1"/>
  <c r="I148" i="1"/>
  <c r="AC148" i="1"/>
  <c r="AE148" i="1"/>
  <c r="AF148" i="1"/>
  <c r="CT148" i="1" s="1"/>
  <c r="S148" i="1" s="1"/>
  <c r="AG148" i="1"/>
  <c r="AH148" i="1"/>
  <c r="AI148" i="1"/>
  <c r="CW148" i="1" s="1"/>
  <c r="V148" i="1" s="1"/>
  <c r="AJ148" i="1"/>
  <c r="CX148" i="1" s="1"/>
  <c r="W148" i="1" s="1"/>
  <c r="CQ148" i="1"/>
  <c r="P148" i="1" s="1"/>
  <c r="CU148" i="1"/>
  <c r="T148" i="1" s="1"/>
  <c r="CV148" i="1"/>
  <c r="U148" i="1" s="1"/>
  <c r="FR148" i="1"/>
  <c r="GL148" i="1"/>
  <c r="GO148" i="1"/>
  <c r="GP148" i="1"/>
  <c r="GV148" i="1"/>
  <c r="HC148" i="1" s="1"/>
  <c r="GX148" i="1" s="1"/>
  <c r="O149" i="1"/>
  <c r="P149" i="1"/>
  <c r="Q149" i="1"/>
  <c r="R149" i="1"/>
  <c r="S149" i="1"/>
  <c r="T149" i="1"/>
  <c r="U149" i="1"/>
  <c r="V149" i="1"/>
  <c r="W149" i="1"/>
  <c r="X149" i="1"/>
  <c r="Y149" i="1"/>
  <c r="AB149" i="1"/>
  <c r="AC149" i="1"/>
  <c r="AD149" i="1"/>
  <c r="AE149" i="1"/>
  <c r="AF149" i="1"/>
  <c r="AG149" i="1"/>
  <c r="AH149" i="1"/>
  <c r="AI149" i="1"/>
  <c r="AJ149" i="1"/>
  <c r="CP149" i="1"/>
  <c r="FR149" i="1"/>
  <c r="GK149" i="1"/>
  <c r="GL149" i="1"/>
  <c r="GM149" i="1"/>
  <c r="GN149" i="1"/>
  <c r="GO149" i="1"/>
  <c r="GP149" i="1"/>
  <c r="GV149" i="1"/>
  <c r="GX149" i="1"/>
  <c r="O150" i="1"/>
  <c r="P150" i="1"/>
  <c r="Q150" i="1"/>
  <c r="R150" i="1"/>
  <c r="GK150" i="1" s="1"/>
  <c r="S150" i="1"/>
  <c r="T150" i="1"/>
  <c r="U150" i="1"/>
  <c r="V150" i="1"/>
  <c r="W150" i="1"/>
  <c r="X150" i="1"/>
  <c r="Y150" i="1"/>
  <c r="AB150" i="1"/>
  <c r="CP150" i="1" s="1"/>
  <c r="AC150" i="1"/>
  <c r="AD150" i="1"/>
  <c r="AE150" i="1"/>
  <c r="AF150" i="1"/>
  <c r="AG150" i="1"/>
  <c r="AH150" i="1"/>
  <c r="AI150" i="1"/>
  <c r="AJ150" i="1"/>
  <c r="FR150" i="1"/>
  <c r="GL150" i="1"/>
  <c r="GO150" i="1"/>
  <c r="GP150" i="1"/>
  <c r="GV150" i="1"/>
  <c r="GX150" i="1"/>
  <c r="B152" i="1"/>
  <c r="B77" i="1" s="1"/>
  <c r="C152" i="1"/>
  <c r="C77" i="1" s="1"/>
  <c r="D152" i="1"/>
  <c r="D77" i="1" s="1"/>
  <c r="F152" i="1"/>
  <c r="F77" i="1" s="1"/>
  <c r="G152" i="1"/>
  <c r="G77" i="1" s="1"/>
  <c r="BC152" i="1"/>
  <c r="BX152" i="1"/>
  <c r="BX77" i="1" s="1"/>
  <c r="CK152" i="1"/>
  <c r="CK77" i="1" s="1"/>
  <c r="CL152" i="1"/>
  <c r="CL77" i="1" s="1"/>
  <c r="D181" i="1"/>
  <c r="C183" i="1"/>
  <c r="E183" i="1"/>
  <c r="Z183" i="1"/>
  <c r="AA183" i="1"/>
  <c r="AM183" i="1"/>
  <c r="AN183" i="1"/>
  <c r="BD183" i="1"/>
  <c r="BE183" i="1"/>
  <c r="BF183" i="1"/>
  <c r="BG183" i="1"/>
  <c r="BH183" i="1"/>
  <c r="BI183" i="1"/>
  <c r="BJ183" i="1"/>
  <c r="BK183" i="1"/>
  <c r="BL183" i="1"/>
  <c r="BM183" i="1"/>
  <c r="BN183" i="1"/>
  <c r="BO183" i="1"/>
  <c r="BP183" i="1"/>
  <c r="BQ183" i="1"/>
  <c r="BR183" i="1"/>
  <c r="BS183" i="1"/>
  <c r="BT183" i="1"/>
  <c r="BU183" i="1"/>
  <c r="BV183" i="1"/>
  <c r="BW183" i="1"/>
  <c r="CM183" i="1"/>
  <c r="CN183" i="1"/>
  <c r="CO183" i="1"/>
  <c r="CP183" i="1"/>
  <c r="CQ183" i="1"/>
  <c r="CR183" i="1"/>
  <c r="CS183" i="1"/>
  <c r="CT183" i="1"/>
  <c r="CU183" i="1"/>
  <c r="CV183" i="1"/>
  <c r="CW183" i="1"/>
  <c r="CX183" i="1"/>
  <c r="CY183" i="1"/>
  <c r="CZ183" i="1"/>
  <c r="DA183" i="1"/>
  <c r="DB183" i="1"/>
  <c r="DC183" i="1"/>
  <c r="DD183" i="1"/>
  <c r="DE183" i="1"/>
  <c r="DF183" i="1"/>
  <c r="DG183" i="1"/>
  <c r="DH183" i="1"/>
  <c r="DI183" i="1"/>
  <c r="DJ183" i="1"/>
  <c r="DK183" i="1"/>
  <c r="DL183" i="1"/>
  <c r="DM183" i="1"/>
  <c r="DN183" i="1"/>
  <c r="DO183" i="1"/>
  <c r="DP183" i="1"/>
  <c r="DQ183" i="1"/>
  <c r="DR183" i="1"/>
  <c r="DS183" i="1"/>
  <c r="DT183" i="1"/>
  <c r="DU183" i="1"/>
  <c r="DV183" i="1"/>
  <c r="DW183" i="1"/>
  <c r="DX183" i="1"/>
  <c r="DY183" i="1"/>
  <c r="DZ183" i="1"/>
  <c r="EA183" i="1"/>
  <c r="EB183" i="1"/>
  <c r="EC183" i="1"/>
  <c r="ED183" i="1"/>
  <c r="EE183" i="1"/>
  <c r="EF183" i="1"/>
  <c r="EG183" i="1"/>
  <c r="EH183" i="1"/>
  <c r="EI183" i="1"/>
  <c r="EJ183" i="1"/>
  <c r="EK183" i="1"/>
  <c r="EL183" i="1"/>
  <c r="EM183" i="1"/>
  <c r="EN183" i="1"/>
  <c r="EO183" i="1"/>
  <c r="EP183" i="1"/>
  <c r="EQ183" i="1"/>
  <c r="ER183" i="1"/>
  <c r="ES183" i="1"/>
  <c r="ET183" i="1"/>
  <c r="EU183" i="1"/>
  <c r="EV183" i="1"/>
  <c r="EW183" i="1"/>
  <c r="EX183" i="1"/>
  <c r="EY183" i="1"/>
  <c r="EZ183" i="1"/>
  <c r="FA183" i="1"/>
  <c r="FB183" i="1"/>
  <c r="FC183" i="1"/>
  <c r="FD183" i="1"/>
  <c r="FE183" i="1"/>
  <c r="FF183" i="1"/>
  <c r="FG183" i="1"/>
  <c r="FH183" i="1"/>
  <c r="FI183" i="1"/>
  <c r="FJ183" i="1"/>
  <c r="FK183" i="1"/>
  <c r="FL183" i="1"/>
  <c r="FM183" i="1"/>
  <c r="FN183" i="1"/>
  <c r="FO183" i="1"/>
  <c r="FP183" i="1"/>
  <c r="FQ183" i="1"/>
  <c r="FR183" i="1"/>
  <c r="FS183" i="1"/>
  <c r="FT183" i="1"/>
  <c r="FU183" i="1"/>
  <c r="FV183" i="1"/>
  <c r="FW183" i="1"/>
  <c r="FX183" i="1"/>
  <c r="FY183" i="1"/>
  <c r="FZ183" i="1"/>
  <c r="GA183" i="1"/>
  <c r="GB183" i="1"/>
  <c r="GC183" i="1"/>
  <c r="GD183" i="1"/>
  <c r="GE183" i="1"/>
  <c r="GF183" i="1"/>
  <c r="GG183" i="1"/>
  <c r="GH183" i="1"/>
  <c r="GI183" i="1"/>
  <c r="GJ183" i="1"/>
  <c r="GK183" i="1"/>
  <c r="GL183" i="1"/>
  <c r="GM183" i="1"/>
  <c r="GN183" i="1"/>
  <c r="GO183" i="1"/>
  <c r="GP183" i="1"/>
  <c r="GQ183" i="1"/>
  <c r="GR183" i="1"/>
  <c r="GS183" i="1"/>
  <c r="GT183" i="1"/>
  <c r="GU183" i="1"/>
  <c r="GV183" i="1"/>
  <c r="GW183" i="1"/>
  <c r="GX183" i="1"/>
  <c r="C185" i="1"/>
  <c r="D185" i="1"/>
  <c r="P185" i="1"/>
  <c r="AC185" i="1"/>
  <c r="AD185" i="1"/>
  <c r="CR185" i="1" s="1"/>
  <c r="Q185" i="1" s="1"/>
  <c r="AE185" i="1"/>
  <c r="AF185" i="1"/>
  <c r="AG185" i="1"/>
  <c r="AH185" i="1"/>
  <c r="CV185" i="1" s="1"/>
  <c r="U185" i="1" s="1"/>
  <c r="AI185" i="1"/>
  <c r="AJ185" i="1"/>
  <c r="CQ185" i="1"/>
  <c r="CS185" i="1"/>
  <c r="R185" i="1" s="1"/>
  <c r="GK185" i="1" s="1"/>
  <c r="CT185" i="1"/>
  <c r="S185" i="1" s="1"/>
  <c r="CU185" i="1"/>
  <c r="T185" i="1" s="1"/>
  <c r="CW185" i="1"/>
  <c r="V185" i="1" s="1"/>
  <c r="CX185" i="1"/>
  <c r="W185" i="1" s="1"/>
  <c r="FR185" i="1"/>
  <c r="GL185" i="1"/>
  <c r="GN185" i="1"/>
  <c r="GP185" i="1"/>
  <c r="GV185" i="1"/>
  <c r="HC185" i="1"/>
  <c r="GX185" i="1" s="1"/>
  <c r="C186" i="1"/>
  <c r="D186" i="1"/>
  <c r="AC186" i="1"/>
  <c r="AE186" i="1"/>
  <c r="AF186" i="1"/>
  <c r="AG186" i="1"/>
  <c r="AH186" i="1"/>
  <c r="AI186" i="1"/>
  <c r="CW186" i="1" s="1"/>
  <c r="V186" i="1" s="1"/>
  <c r="AJ186" i="1"/>
  <c r="CQ186" i="1"/>
  <c r="P186" i="1" s="1"/>
  <c r="CT186" i="1"/>
  <c r="S186" i="1" s="1"/>
  <c r="CU186" i="1"/>
  <c r="T186" i="1" s="1"/>
  <c r="CV186" i="1"/>
  <c r="U186" i="1" s="1"/>
  <c r="CX186" i="1"/>
  <c r="W186" i="1" s="1"/>
  <c r="FR186" i="1"/>
  <c r="GL186" i="1"/>
  <c r="GN186" i="1"/>
  <c r="GP186" i="1"/>
  <c r="GV186" i="1"/>
  <c r="HC186" i="1" s="1"/>
  <c r="GX186" i="1" s="1"/>
  <c r="C187" i="1"/>
  <c r="D187" i="1"/>
  <c r="I187" i="1"/>
  <c r="AC187" i="1"/>
  <c r="AE187" i="1"/>
  <c r="AF187" i="1"/>
  <c r="AG187" i="1"/>
  <c r="AH187" i="1"/>
  <c r="AI187" i="1"/>
  <c r="CW187" i="1" s="1"/>
  <c r="V187" i="1" s="1"/>
  <c r="AJ187" i="1"/>
  <c r="CQ187" i="1"/>
  <c r="P187" i="1" s="1"/>
  <c r="CT187" i="1"/>
  <c r="S187" i="1" s="1"/>
  <c r="CU187" i="1"/>
  <c r="T187" i="1" s="1"/>
  <c r="CV187" i="1"/>
  <c r="U187" i="1" s="1"/>
  <c r="CX187" i="1"/>
  <c r="W187" i="1" s="1"/>
  <c r="FR187" i="1"/>
  <c r="GL187" i="1"/>
  <c r="GN187" i="1"/>
  <c r="GP187" i="1"/>
  <c r="GV187" i="1"/>
  <c r="HC187" i="1" s="1"/>
  <c r="GX187" i="1" s="1"/>
  <c r="I188" i="1"/>
  <c r="W188" i="1"/>
  <c r="AC188" i="1"/>
  <c r="AE188" i="1"/>
  <c r="AD188" i="1" s="1"/>
  <c r="CR188" i="1" s="1"/>
  <c r="Q188" i="1" s="1"/>
  <c r="AF188" i="1"/>
  <c r="AG188" i="1"/>
  <c r="CU188" i="1" s="1"/>
  <c r="T188" i="1" s="1"/>
  <c r="AH188" i="1"/>
  <c r="AI188" i="1"/>
  <c r="AJ188" i="1"/>
  <c r="CS188" i="1"/>
  <c r="R188" i="1" s="1"/>
  <c r="GK188" i="1" s="1"/>
  <c r="CT188" i="1"/>
  <c r="S188" i="1" s="1"/>
  <c r="CV188" i="1"/>
  <c r="U188" i="1" s="1"/>
  <c r="CW188" i="1"/>
  <c r="V188" i="1" s="1"/>
  <c r="CX188" i="1"/>
  <c r="FR188" i="1"/>
  <c r="GL188" i="1"/>
  <c r="GN188" i="1"/>
  <c r="GP188" i="1"/>
  <c r="GV188" i="1"/>
  <c r="HC188" i="1"/>
  <c r="GX188" i="1" s="1"/>
  <c r="C189" i="1"/>
  <c r="D189" i="1"/>
  <c r="I189" i="1"/>
  <c r="I190" i="1" s="1"/>
  <c r="U190" i="1" s="1"/>
  <c r="S189" i="1"/>
  <c r="AC189" i="1"/>
  <c r="AE189" i="1"/>
  <c r="AD189" i="1" s="1"/>
  <c r="CR189" i="1" s="1"/>
  <c r="Q189" i="1" s="1"/>
  <c r="AF189" i="1"/>
  <c r="AG189" i="1"/>
  <c r="CU189" i="1" s="1"/>
  <c r="T189" i="1" s="1"/>
  <c r="AH189" i="1"/>
  <c r="AI189" i="1"/>
  <c r="AJ189" i="1"/>
  <c r="CS189" i="1"/>
  <c r="R189" i="1" s="1"/>
  <c r="GK189" i="1" s="1"/>
  <c r="CT189" i="1"/>
  <c r="CV189" i="1"/>
  <c r="U189" i="1" s="1"/>
  <c r="CW189" i="1"/>
  <c r="V189" i="1" s="1"/>
  <c r="CX189" i="1"/>
  <c r="W189" i="1" s="1"/>
  <c r="FR189" i="1"/>
  <c r="GL189" i="1"/>
  <c r="GN189" i="1"/>
  <c r="GP189" i="1"/>
  <c r="GV189" i="1"/>
  <c r="HC189" i="1"/>
  <c r="GX189" i="1" s="1"/>
  <c r="AC190" i="1"/>
  <c r="AE190" i="1"/>
  <c r="AF190" i="1"/>
  <c r="AG190" i="1"/>
  <c r="AH190" i="1"/>
  <c r="AI190" i="1"/>
  <c r="CW190" i="1" s="1"/>
  <c r="AJ190" i="1"/>
  <c r="CQ190" i="1"/>
  <c r="CT190" i="1"/>
  <c r="CU190" i="1"/>
  <c r="CV190" i="1"/>
  <c r="CX190" i="1"/>
  <c r="W190" i="1" s="1"/>
  <c r="FR190" i="1"/>
  <c r="GL190" i="1"/>
  <c r="GN190" i="1"/>
  <c r="GP190" i="1"/>
  <c r="GV190" i="1"/>
  <c r="HC190" i="1" s="1"/>
  <c r="C191" i="1"/>
  <c r="D191" i="1"/>
  <c r="I191" i="1"/>
  <c r="U191" i="1"/>
  <c r="AC191" i="1"/>
  <c r="AE191" i="1"/>
  <c r="AF191" i="1"/>
  <c r="AG191" i="1"/>
  <c r="AH191" i="1"/>
  <c r="AI191" i="1"/>
  <c r="CW191" i="1" s="1"/>
  <c r="V191" i="1" s="1"/>
  <c r="AJ191" i="1"/>
  <c r="CQ191" i="1"/>
  <c r="P191" i="1" s="1"/>
  <c r="CT191" i="1"/>
  <c r="S191" i="1" s="1"/>
  <c r="CU191" i="1"/>
  <c r="T191" i="1" s="1"/>
  <c r="CV191" i="1"/>
  <c r="CX191" i="1"/>
  <c r="W191" i="1" s="1"/>
  <c r="FR191" i="1"/>
  <c r="GL191" i="1"/>
  <c r="GN191" i="1"/>
  <c r="GP191" i="1"/>
  <c r="GV191" i="1"/>
  <c r="HC191" i="1" s="1"/>
  <c r="GX191" i="1" s="1"/>
  <c r="I192" i="1"/>
  <c r="S192" i="1"/>
  <c r="AC192" i="1"/>
  <c r="AE192" i="1"/>
  <c r="AD192" i="1" s="1"/>
  <c r="CR192" i="1" s="1"/>
  <c r="Q192" i="1" s="1"/>
  <c r="AF192" i="1"/>
  <c r="AG192" i="1"/>
  <c r="CU192" i="1" s="1"/>
  <c r="T192" i="1" s="1"/>
  <c r="AH192" i="1"/>
  <c r="AI192" i="1"/>
  <c r="AJ192" i="1"/>
  <c r="CS192" i="1"/>
  <c r="R192" i="1" s="1"/>
  <c r="CT192" i="1"/>
  <c r="CV192" i="1"/>
  <c r="U192" i="1" s="1"/>
  <c r="CW192" i="1"/>
  <c r="V192" i="1" s="1"/>
  <c r="CX192" i="1"/>
  <c r="W192" i="1" s="1"/>
  <c r="FR192" i="1"/>
  <c r="GK192" i="1"/>
  <c r="GL192" i="1"/>
  <c r="GN192" i="1"/>
  <c r="GP192" i="1"/>
  <c r="GV192" i="1"/>
  <c r="HC192" i="1"/>
  <c r="GX192" i="1" s="1"/>
  <c r="C193" i="1"/>
  <c r="D193" i="1"/>
  <c r="I193" i="1"/>
  <c r="W193" i="1"/>
  <c r="AC193" i="1"/>
  <c r="AE193" i="1"/>
  <c r="AD193" i="1" s="1"/>
  <c r="CR193" i="1" s="1"/>
  <c r="Q193" i="1" s="1"/>
  <c r="AF193" i="1"/>
  <c r="AG193" i="1"/>
  <c r="CU193" i="1" s="1"/>
  <c r="T193" i="1" s="1"/>
  <c r="AH193" i="1"/>
  <c r="AI193" i="1"/>
  <c r="AJ193" i="1"/>
  <c r="CS193" i="1"/>
  <c r="R193" i="1" s="1"/>
  <c r="GK193" i="1" s="1"/>
  <c r="CT193" i="1"/>
  <c r="S193" i="1" s="1"/>
  <c r="CV193" i="1"/>
  <c r="U193" i="1" s="1"/>
  <c r="CW193" i="1"/>
  <c r="V193" i="1" s="1"/>
  <c r="CX193" i="1"/>
  <c r="FR193" i="1"/>
  <c r="GL193" i="1"/>
  <c r="GN193" i="1"/>
  <c r="GP193" i="1"/>
  <c r="GV193" i="1"/>
  <c r="HC193" i="1"/>
  <c r="GX193" i="1" s="1"/>
  <c r="I194" i="1"/>
  <c r="U194" i="1"/>
  <c r="AC194" i="1"/>
  <c r="AE194" i="1"/>
  <c r="AF194" i="1"/>
  <c r="AG194" i="1"/>
  <c r="AH194" i="1"/>
  <c r="AI194" i="1"/>
  <c r="CW194" i="1" s="1"/>
  <c r="V194" i="1" s="1"/>
  <c r="AJ194" i="1"/>
  <c r="CQ194" i="1"/>
  <c r="P194" i="1" s="1"/>
  <c r="CT194" i="1"/>
  <c r="S194" i="1" s="1"/>
  <c r="CU194" i="1"/>
  <c r="T194" i="1" s="1"/>
  <c r="CV194" i="1"/>
  <c r="CX194" i="1"/>
  <c r="W194" i="1" s="1"/>
  <c r="FR194" i="1"/>
  <c r="GL194" i="1"/>
  <c r="GN194" i="1"/>
  <c r="GP194" i="1"/>
  <c r="GV194" i="1"/>
  <c r="HC194" i="1" s="1"/>
  <c r="GX194" i="1" s="1"/>
  <c r="C195" i="1"/>
  <c r="D195" i="1"/>
  <c r="I195" i="1"/>
  <c r="AC195" i="1"/>
  <c r="AE195" i="1"/>
  <c r="AF195" i="1"/>
  <c r="CT195" i="1" s="1"/>
  <c r="S195" i="1" s="1"/>
  <c r="AG195" i="1"/>
  <c r="AH195" i="1"/>
  <c r="AI195" i="1"/>
  <c r="CW195" i="1" s="1"/>
  <c r="V195" i="1" s="1"/>
  <c r="AJ195" i="1"/>
  <c r="CX195" i="1" s="1"/>
  <c r="W195" i="1" s="1"/>
  <c r="CQ195" i="1"/>
  <c r="P195" i="1" s="1"/>
  <c r="CU195" i="1"/>
  <c r="T195" i="1" s="1"/>
  <c r="CV195" i="1"/>
  <c r="U195" i="1" s="1"/>
  <c r="FR195" i="1"/>
  <c r="GL195" i="1"/>
  <c r="GN195" i="1"/>
  <c r="GP195" i="1"/>
  <c r="GV195" i="1"/>
  <c r="HC195" i="1" s="1"/>
  <c r="GX195" i="1" s="1"/>
  <c r="I196" i="1"/>
  <c r="S196" i="1"/>
  <c r="AC196" i="1"/>
  <c r="AD196" i="1"/>
  <c r="CR196" i="1" s="1"/>
  <c r="Q196" i="1" s="1"/>
  <c r="AE196" i="1"/>
  <c r="AF196" i="1"/>
  <c r="AG196" i="1"/>
  <c r="CU196" i="1" s="1"/>
  <c r="T196" i="1" s="1"/>
  <c r="AH196" i="1"/>
  <c r="CV196" i="1" s="1"/>
  <c r="U196" i="1" s="1"/>
  <c r="AI196" i="1"/>
  <c r="AJ196" i="1"/>
  <c r="CS196" i="1"/>
  <c r="R196" i="1" s="1"/>
  <c r="CT196" i="1"/>
  <c r="CW196" i="1"/>
  <c r="V196" i="1" s="1"/>
  <c r="CX196" i="1"/>
  <c r="W196" i="1" s="1"/>
  <c r="FR196" i="1"/>
  <c r="GK196" i="1"/>
  <c r="GL196" i="1"/>
  <c r="GN196" i="1"/>
  <c r="GP196" i="1"/>
  <c r="GV196" i="1"/>
  <c r="HC196" i="1"/>
  <c r="GX196" i="1" s="1"/>
  <c r="C197" i="1"/>
  <c r="D197" i="1"/>
  <c r="I197" i="1"/>
  <c r="W197" i="1"/>
  <c r="AC197" i="1"/>
  <c r="AD197" i="1"/>
  <c r="CR197" i="1" s="1"/>
  <c r="Q197" i="1" s="1"/>
  <c r="AE197" i="1"/>
  <c r="AF197" i="1"/>
  <c r="AG197" i="1"/>
  <c r="CU197" i="1" s="1"/>
  <c r="T197" i="1" s="1"/>
  <c r="AH197" i="1"/>
  <c r="CV197" i="1" s="1"/>
  <c r="U197" i="1" s="1"/>
  <c r="AI197" i="1"/>
  <c r="AJ197" i="1"/>
  <c r="CS197" i="1"/>
  <c r="R197" i="1" s="1"/>
  <c r="GK197" i="1" s="1"/>
  <c r="CT197" i="1"/>
  <c r="S197" i="1" s="1"/>
  <c r="CW197" i="1"/>
  <c r="V197" i="1" s="1"/>
  <c r="CX197" i="1"/>
  <c r="FR197" i="1"/>
  <c r="GL197" i="1"/>
  <c r="GN197" i="1"/>
  <c r="GP197" i="1"/>
  <c r="GV197" i="1"/>
  <c r="HC197" i="1"/>
  <c r="GX197" i="1" s="1"/>
  <c r="I198" i="1"/>
  <c r="AC198" i="1"/>
  <c r="AE198" i="1"/>
  <c r="AF198" i="1"/>
  <c r="CT198" i="1" s="1"/>
  <c r="S198" i="1" s="1"/>
  <c r="AG198" i="1"/>
  <c r="AH198" i="1"/>
  <c r="AI198" i="1"/>
  <c r="CW198" i="1" s="1"/>
  <c r="V198" i="1" s="1"/>
  <c r="AJ198" i="1"/>
  <c r="CX198" i="1" s="1"/>
  <c r="W198" i="1" s="1"/>
  <c r="CQ198" i="1"/>
  <c r="P198" i="1" s="1"/>
  <c r="CU198" i="1"/>
  <c r="T198" i="1" s="1"/>
  <c r="CV198" i="1"/>
  <c r="U198" i="1" s="1"/>
  <c r="FR198" i="1"/>
  <c r="GL198" i="1"/>
  <c r="GN198" i="1"/>
  <c r="GP198" i="1"/>
  <c r="GV198" i="1"/>
  <c r="HC198" i="1" s="1"/>
  <c r="GX198" i="1" s="1"/>
  <c r="C199" i="1"/>
  <c r="D199" i="1"/>
  <c r="I199" i="1"/>
  <c r="AC199" i="1"/>
  <c r="AE199" i="1"/>
  <c r="AF199" i="1"/>
  <c r="CT199" i="1" s="1"/>
  <c r="S199" i="1" s="1"/>
  <c r="AG199" i="1"/>
  <c r="AH199" i="1"/>
  <c r="AI199" i="1"/>
  <c r="CW199" i="1" s="1"/>
  <c r="V199" i="1" s="1"/>
  <c r="AJ199" i="1"/>
  <c r="CX199" i="1" s="1"/>
  <c r="W199" i="1" s="1"/>
  <c r="CQ199" i="1"/>
  <c r="P199" i="1" s="1"/>
  <c r="CU199" i="1"/>
  <c r="T199" i="1" s="1"/>
  <c r="CV199" i="1"/>
  <c r="U199" i="1" s="1"/>
  <c r="FR199" i="1"/>
  <c r="GL199" i="1"/>
  <c r="GN199" i="1"/>
  <c r="GP199" i="1"/>
  <c r="GV199" i="1"/>
  <c r="HC199" i="1" s="1"/>
  <c r="GX199" i="1" s="1"/>
  <c r="I200" i="1"/>
  <c r="AC200" i="1"/>
  <c r="AD200" i="1"/>
  <c r="CR200" i="1" s="1"/>
  <c r="Q200" i="1" s="1"/>
  <c r="AE200" i="1"/>
  <c r="AF200" i="1"/>
  <c r="AG200" i="1"/>
  <c r="CU200" i="1" s="1"/>
  <c r="T200" i="1" s="1"/>
  <c r="AH200" i="1"/>
  <c r="CV200" i="1" s="1"/>
  <c r="U200" i="1" s="1"/>
  <c r="AI200" i="1"/>
  <c r="AJ200" i="1"/>
  <c r="CS200" i="1"/>
  <c r="R200" i="1" s="1"/>
  <c r="CT200" i="1"/>
  <c r="S200" i="1" s="1"/>
  <c r="CW200" i="1"/>
  <c r="V200" i="1" s="1"/>
  <c r="CX200" i="1"/>
  <c r="W200" i="1" s="1"/>
  <c r="FR200" i="1"/>
  <c r="GK200" i="1"/>
  <c r="GL200" i="1"/>
  <c r="GN200" i="1"/>
  <c r="GP200" i="1"/>
  <c r="GV200" i="1"/>
  <c r="HC200" i="1"/>
  <c r="GX200" i="1" s="1"/>
  <c r="I201" i="1"/>
  <c r="AC201" i="1"/>
  <c r="AE201" i="1"/>
  <c r="AF201" i="1"/>
  <c r="CT201" i="1" s="1"/>
  <c r="S201" i="1" s="1"/>
  <c r="AG201" i="1"/>
  <c r="AH201" i="1"/>
  <c r="AI201" i="1"/>
  <c r="CW201" i="1" s="1"/>
  <c r="V201" i="1" s="1"/>
  <c r="AJ201" i="1"/>
  <c r="CX201" i="1" s="1"/>
  <c r="W201" i="1" s="1"/>
  <c r="CQ201" i="1"/>
  <c r="P201" i="1" s="1"/>
  <c r="CU201" i="1"/>
  <c r="T201" i="1" s="1"/>
  <c r="CV201" i="1"/>
  <c r="U201" i="1" s="1"/>
  <c r="FR201" i="1"/>
  <c r="GL201" i="1"/>
  <c r="GN201" i="1"/>
  <c r="GP201" i="1"/>
  <c r="GV201" i="1"/>
  <c r="HC201" i="1" s="1"/>
  <c r="GX201" i="1" s="1"/>
  <c r="C202" i="1"/>
  <c r="D202" i="1"/>
  <c r="I202" i="1"/>
  <c r="AC202" i="1"/>
  <c r="AE202" i="1"/>
  <c r="AF202" i="1"/>
  <c r="CT202" i="1" s="1"/>
  <c r="S202" i="1" s="1"/>
  <c r="AG202" i="1"/>
  <c r="AH202" i="1"/>
  <c r="AI202" i="1"/>
  <c r="CW202" i="1" s="1"/>
  <c r="V202" i="1" s="1"/>
  <c r="AJ202" i="1"/>
  <c r="CX202" i="1" s="1"/>
  <c r="W202" i="1" s="1"/>
  <c r="CQ202" i="1"/>
  <c r="P202" i="1" s="1"/>
  <c r="CU202" i="1"/>
  <c r="T202" i="1" s="1"/>
  <c r="CV202" i="1"/>
  <c r="U202" i="1" s="1"/>
  <c r="FR202" i="1"/>
  <c r="GL202" i="1"/>
  <c r="GN202" i="1"/>
  <c r="GP202" i="1"/>
  <c r="GV202" i="1"/>
  <c r="HC202" i="1" s="1"/>
  <c r="GX202" i="1" s="1"/>
  <c r="I203" i="1"/>
  <c r="W203" i="1"/>
  <c r="AC203" i="1"/>
  <c r="AD203" i="1"/>
  <c r="CR203" i="1" s="1"/>
  <c r="Q203" i="1" s="1"/>
  <c r="AE203" i="1"/>
  <c r="AF203" i="1"/>
  <c r="AG203" i="1"/>
  <c r="CU203" i="1" s="1"/>
  <c r="T203" i="1" s="1"/>
  <c r="AH203" i="1"/>
  <c r="CV203" i="1" s="1"/>
  <c r="U203" i="1" s="1"/>
  <c r="AI203" i="1"/>
  <c r="AJ203" i="1"/>
  <c r="CS203" i="1"/>
  <c r="R203" i="1" s="1"/>
  <c r="GK203" i="1" s="1"/>
  <c r="CT203" i="1"/>
  <c r="S203" i="1" s="1"/>
  <c r="CW203" i="1"/>
  <c r="V203" i="1" s="1"/>
  <c r="CX203" i="1"/>
  <c r="FR203" i="1"/>
  <c r="GL203" i="1"/>
  <c r="GN203" i="1"/>
  <c r="GP203" i="1"/>
  <c r="GV203" i="1"/>
  <c r="HC203" i="1"/>
  <c r="GX203" i="1" s="1"/>
  <c r="C204" i="1"/>
  <c r="D204" i="1"/>
  <c r="I204" i="1"/>
  <c r="CX313" i="3" s="1"/>
  <c r="S204" i="1"/>
  <c r="AC204" i="1"/>
  <c r="AD204" i="1"/>
  <c r="CR204" i="1" s="1"/>
  <c r="Q204" i="1" s="1"/>
  <c r="AE204" i="1"/>
  <c r="AF204" i="1"/>
  <c r="AG204" i="1"/>
  <c r="CU204" i="1" s="1"/>
  <c r="T204" i="1" s="1"/>
  <c r="AH204" i="1"/>
  <c r="CV204" i="1" s="1"/>
  <c r="U204" i="1" s="1"/>
  <c r="AI204" i="1"/>
  <c r="AJ204" i="1"/>
  <c r="CS204" i="1"/>
  <c r="R204" i="1" s="1"/>
  <c r="CT204" i="1"/>
  <c r="CW204" i="1"/>
  <c r="V204" i="1" s="1"/>
  <c r="CX204" i="1"/>
  <c r="W204" i="1" s="1"/>
  <c r="FR204" i="1"/>
  <c r="GK204" i="1"/>
  <c r="GL204" i="1"/>
  <c r="GO204" i="1"/>
  <c r="GP204" i="1"/>
  <c r="GV204" i="1"/>
  <c r="GX204" i="1"/>
  <c r="HC204" i="1"/>
  <c r="C205" i="1"/>
  <c r="D205" i="1"/>
  <c r="I205" i="1"/>
  <c r="I206" i="1" s="1"/>
  <c r="S205" i="1"/>
  <c r="CY205" i="1" s="1"/>
  <c r="X205" i="1" s="1"/>
  <c r="V205" i="1"/>
  <c r="AC205" i="1"/>
  <c r="AD205" i="1"/>
  <c r="CR205" i="1" s="1"/>
  <c r="AE205" i="1"/>
  <c r="AF205" i="1"/>
  <c r="AG205" i="1"/>
  <c r="CU205" i="1" s="1"/>
  <c r="T205" i="1" s="1"/>
  <c r="AH205" i="1"/>
  <c r="CV205" i="1" s="1"/>
  <c r="AI205" i="1"/>
  <c r="AJ205" i="1"/>
  <c r="CS205" i="1"/>
  <c r="R205" i="1" s="1"/>
  <c r="GK205" i="1" s="1"/>
  <c r="CT205" i="1"/>
  <c r="CW205" i="1"/>
  <c r="CX205" i="1"/>
  <c r="W205" i="1" s="1"/>
  <c r="FR205" i="1"/>
  <c r="GL205" i="1"/>
  <c r="GN205" i="1"/>
  <c r="GP205" i="1"/>
  <c r="GV205" i="1"/>
  <c r="HC205" i="1"/>
  <c r="GX205" i="1" s="1"/>
  <c r="U206" i="1"/>
  <c r="AC206" i="1"/>
  <c r="CQ206" i="1" s="1"/>
  <c r="P206" i="1" s="1"/>
  <c r="AE206" i="1"/>
  <c r="AF206" i="1"/>
  <c r="AG206" i="1"/>
  <c r="CU206" i="1" s="1"/>
  <c r="AH206" i="1"/>
  <c r="AI206" i="1"/>
  <c r="CW206" i="1" s="1"/>
  <c r="AJ206" i="1"/>
  <c r="CT206" i="1"/>
  <c r="S206" i="1" s="1"/>
  <c r="CV206" i="1"/>
  <c r="CX206" i="1"/>
  <c r="W206" i="1" s="1"/>
  <c r="FR206" i="1"/>
  <c r="GL206" i="1"/>
  <c r="GN206" i="1"/>
  <c r="GP206" i="1"/>
  <c r="GV206" i="1"/>
  <c r="HC206" i="1" s="1"/>
  <c r="C207" i="1"/>
  <c r="D207" i="1"/>
  <c r="I207" i="1"/>
  <c r="U207" i="1"/>
  <c r="AC207" i="1"/>
  <c r="CQ207" i="1" s="1"/>
  <c r="P207" i="1" s="1"/>
  <c r="AE207" i="1"/>
  <c r="AF207" i="1"/>
  <c r="AG207" i="1"/>
  <c r="CU207" i="1" s="1"/>
  <c r="T207" i="1" s="1"/>
  <c r="AH207" i="1"/>
  <c r="AI207" i="1"/>
  <c r="CW207" i="1" s="1"/>
  <c r="V207" i="1" s="1"/>
  <c r="AJ207" i="1"/>
  <c r="CT207" i="1"/>
  <c r="S207" i="1" s="1"/>
  <c r="CV207" i="1"/>
  <c r="CX207" i="1"/>
  <c r="W207" i="1" s="1"/>
  <c r="FR207" i="1"/>
  <c r="GL207" i="1"/>
  <c r="GN207" i="1"/>
  <c r="GP207" i="1"/>
  <c r="GV207" i="1"/>
  <c r="HC207" i="1" s="1"/>
  <c r="GX207" i="1" s="1"/>
  <c r="C208" i="1"/>
  <c r="D208" i="1"/>
  <c r="AC208" i="1"/>
  <c r="AD208" i="1"/>
  <c r="CR208" i="1" s="1"/>
  <c r="Q208" i="1" s="1"/>
  <c r="AE208" i="1"/>
  <c r="AF208" i="1"/>
  <c r="CT208" i="1" s="1"/>
  <c r="S208" i="1" s="1"/>
  <c r="AG208" i="1"/>
  <c r="AH208" i="1"/>
  <c r="CV208" i="1" s="1"/>
  <c r="U208" i="1" s="1"/>
  <c r="AI208" i="1"/>
  <c r="AJ208" i="1"/>
  <c r="CX208" i="1" s="1"/>
  <c r="W208" i="1" s="1"/>
  <c r="CQ208" i="1"/>
  <c r="P208" i="1" s="1"/>
  <c r="CS208" i="1"/>
  <c r="R208" i="1" s="1"/>
  <c r="GK208" i="1" s="1"/>
  <c r="CU208" i="1"/>
  <c r="T208" i="1" s="1"/>
  <c r="CW208" i="1"/>
  <c r="V208" i="1" s="1"/>
  <c r="FR208" i="1"/>
  <c r="GL208" i="1"/>
  <c r="GN208" i="1"/>
  <c r="GP208" i="1"/>
  <c r="GV208" i="1"/>
  <c r="GX208" i="1"/>
  <c r="HC208" i="1"/>
  <c r="I209" i="1"/>
  <c r="AC209" i="1"/>
  <c r="AD209" i="1"/>
  <c r="AE209" i="1"/>
  <c r="AF209" i="1"/>
  <c r="CT209" i="1" s="1"/>
  <c r="S209" i="1" s="1"/>
  <c r="CZ209" i="1" s="1"/>
  <c r="Y209" i="1" s="1"/>
  <c r="AG209" i="1"/>
  <c r="AH209" i="1"/>
  <c r="CV209" i="1" s="1"/>
  <c r="U209" i="1" s="1"/>
  <c r="AI209" i="1"/>
  <c r="AJ209" i="1"/>
  <c r="CX209" i="1" s="1"/>
  <c r="W209" i="1" s="1"/>
  <c r="CQ209" i="1"/>
  <c r="P209" i="1" s="1"/>
  <c r="CS209" i="1"/>
  <c r="R209" i="1" s="1"/>
  <c r="GK209" i="1" s="1"/>
  <c r="CU209" i="1"/>
  <c r="T209" i="1" s="1"/>
  <c r="CW209" i="1"/>
  <c r="V209" i="1" s="1"/>
  <c r="CY209" i="1"/>
  <c r="X209" i="1" s="1"/>
  <c r="FR209" i="1"/>
  <c r="GL209" i="1"/>
  <c r="BZ215" i="1" s="1"/>
  <c r="GN209" i="1"/>
  <c r="GP209" i="1"/>
  <c r="GV209" i="1"/>
  <c r="HC209" i="1" s="1"/>
  <c r="GX209" i="1" s="1"/>
  <c r="C210" i="1"/>
  <c r="D210" i="1"/>
  <c r="AC210" i="1"/>
  <c r="CQ210" i="1" s="1"/>
  <c r="P210" i="1" s="1"/>
  <c r="AE210" i="1"/>
  <c r="AF210" i="1"/>
  <c r="AG210" i="1"/>
  <c r="CU210" i="1" s="1"/>
  <c r="T210" i="1" s="1"/>
  <c r="AH210" i="1"/>
  <c r="AI210" i="1"/>
  <c r="CW210" i="1" s="1"/>
  <c r="V210" i="1" s="1"/>
  <c r="AJ210" i="1"/>
  <c r="CT210" i="1"/>
  <c r="S210" i="1" s="1"/>
  <c r="CV210" i="1"/>
  <c r="U210" i="1" s="1"/>
  <c r="CX210" i="1"/>
  <c r="W210" i="1" s="1"/>
  <c r="FR210" i="1"/>
  <c r="GL210" i="1"/>
  <c r="GN210" i="1"/>
  <c r="GP210" i="1"/>
  <c r="GV210" i="1"/>
  <c r="HC210" i="1" s="1"/>
  <c r="GX210" i="1" s="1"/>
  <c r="I211" i="1"/>
  <c r="S211" i="1"/>
  <c r="W211" i="1"/>
  <c r="AC211" i="1"/>
  <c r="AE211" i="1"/>
  <c r="CS211" i="1" s="1"/>
  <c r="R211" i="1" s="1"/>
  <c r="GK211" i="1" s="1"/>
  <c r="AF211" i="1"/>
  <c r="AG211" i="1"/>
  <c r="CU211" i="1" s="1"/>
  <c r="T211" i="1" s="1"/>
  <c r="AH211" i="1"/>
  <c r="AI211" i="1"/>
  <c r="CW211" i="1" s="1"/>
  <c r="V211" i="1" s="1"/>
  <c r="AJ211" i="1"/>
  <c r="CT211" i="1"/>
  <c r="CV211" i="1"/>
  <c r="U211" i="1" s="1"/>
  <c r="CX211" i="1"/>
  <c r="FR211" i="1"/>
  <c r="GL211" i="1"/>
  <c r="GN211" i="1"/>
  <c r="GP211" i="1"/>
  <c r="GV211" i="1"/>
  <c r="HC211" i="1"/>
  <c r="GX211" i="1" s="1"/>
  <c r="I212" i="1"/>
  <c r="U212" i="1"/>
  <c r="AC212" i="1"/>
  <c r="CQ212" i="1" s="1"/>
  <c r="P212" i="1" s="1"/>
  <c r="AE212" i="1"/>
  <c r="AF212" i="1"/>
  <c r="AG212" i="1"/>
  <c r="CU212" i="1" s="1"/>
  <c r="T212" i="1" s="1"/>
  <c r="AH212" i="1"/>
  <c r="AI212" i="1"/>
  <c r="CW212" i="1" s="1"/>
  <c r="V212" i="1" s="1"/>
  <c r="AJ212" i="1"/>
  <c r="CT212" i="1"/>
  <c r="S212" i="1" s="1"/>
  <c r="CV212" i="1"/>
  <c r="CX212" i="1"/>
  <c r="W212" i="1" s="1"/>
  <c r="FR212" i="1"/>
  <c r="GL212" i="1"/>
  <c r="GN212" i="1"/>
  <c r="GP212" i="1"/>
  <c r="GV212" i="1"/>
  <c r="HC212" i="1" s="1"/>
  <c r="GX212" i="1" s="1"/>
  <c r="I213" i="1"/>
  <c r="S213" i="1"/>
  <c r="AC213" i="1"/>
  <c r="AE213" i="1"/>
  <c r="CS213" i="1" s="1"/>
  <c r="R213" i="1" s="1"/>
  <c r="AF213" i="1"/>
  <c r="AG213" i="1"/>
  <c r="CU213" i="1" s="1"/>
  <c r="T213" i="1" s="1"/>
  <c r="AH213" i="1"/>
  <c r="AI213" i="1"/>
  <c r="CW213" i="1" s="1"/>
  <c r="V213" i="1" s="1"/>
  <c r="AJ213" i="1"/>
  <c r="CT213" i="1"/>
  <c r="CV213" i="1"/>
  <c r="U213" i="1" s="1"/>
  <c r="CX213" i="1"/>
  <c r="W213" i="1" s="1"/>
  <c r="FR213" i="1"/>
  <c r="GK213" i="1"/>
  <c r="GL213" i="1"/>
  <c r="GN213" i="1"/>
  <c r="GP213" i="1"/>
  <c r="GV213" i="1"/>
  <c r="HC213" i="1"/>
  <c r="GX213" i="1" s="1"/>
  <c r="B215" i="1"/>
  <c r="B183" i="1" s="1"/>
  <c r="C215" i="1"/>
  <c r="D215" i="1"/>
  <c r="D183" i="1" s="1"/>
  <c r="F215" i="1"/>
  <c r="F183" i="1" s="1"/>
  <c r="G215" i="1"/>
  <c r="G183" i="1" s="1"/>
  <c r="AO215" i="1"/>
  <c r="AO183" i="1" s="1"/>
  <c r="BX215" i="1"/>
  <c r="BX183" i="1" s="1"/>
  <c r="BY215" i="1"/>
  <c r="CG215" i="1"/>
  <c r="CK215" i="1"/>
  <c r="CL215" i="1"/>
  <c r="BC215" i="1" s="1"/>
  <c r="BC183" i="1" s="1"/>
  <c r="F231" i="1"/>
  <c r="D244" i="1"/>
  <c r="E246" i="1"/>
  <c r="Z246" i="1"/>
  <c r="AA246" i="1"/>
  <c r="AJ246" i="1"/>
  <c r="AM246" i="1"/>
  <c r="AN246" i="1"/>
  <c r="BD246" i="1"/>
  <c r="BE246" i="1"/>
  <c r="BF246" i="1"/>
  <c r="BG246" i="1"/>
  <c r="BH246" i="1"/>
  <c r="BI246" i="1"/>
  <c r="BJ246" i="1"/>
  <c r="BK246" i="1"/>
  <c r="BL246" i="1"/>
  <c r="BM246" i="1"/>
  <c r="BN246" i="1"/>
  <c r="BO246" i="1"/>
  <c r="BP246" i="1"/>
  <c r="BQ246" i="1"/>
  <c r="BR246" i="1"/>
  <c r="BS246" i="1"/>
  <c r="BT246" i="1"/>
  <c r="BU246" i="1"/>
  <c r="BV246" i="1"/>
  <c r="BW246" i="1"/>
  <c r="BX246" i="1"/>
  <c r="CB246" i="1"/>
  <c r="CM246" i="1"/>
  <c r="CN246" i="1"/>
  <c r="CO246" i="1"/>
  <c r="CP246" i="1"/>
  <c r="CQ246" i="1"/>
  <c r="CR246" i="1"/>
  <c r="CS246" i="1"/>
  <c r="CT246" i="1"/>
  <c r="CU246" i="1"/>
  <c r="CV246" i="1"/>
  <c r="CW246" i="1"/>
  <c r="CX246" i="1"/>
  <c r="CY246" i="1"/>
  <c r="CZ246" i="1"/>
  <c r="DA246" i="1"/>
  <c r="DB246" i="1"/>
  <c r="DC246" i="1"/>
  <c r="DD246" i="1"/>
  <c r="DE246" i="1"/>
  <c r="DF246" i="1"/>
  <c r="DG246" i="1"/>
  <c r="DH246" i="1"/>
  <c r="DI246" i="1"/>
  <c r="DJ246" i="1"/>
  <c r="DK246" i="1"/>
  <c r="DL246" i="1"/>
  <c r="DM246" i="1"/>
  <c r="DN246" i="1"/>
  <c r="DO246" i="1"/>
  <c r="DP246" i="1"/>
  <c r="DQ246" i="1"/>
  <c r="DR246" i="1"/>
  <c r="DS246" i="1"/>
  <c r="DT246" i="1"/>
  <c r="DU246" i="1"/>
  <c r="DV246" i="1"/>
  <c r="DW246" i="1"/>
  <c r="DX246" i="1"/>
  <c r="DY246" i="1"/>
  <c r="DZ246" i="1"/>
  <c r="EA246" i="1"/>
  <c r="EB246" i="1"/>
  <c r="EC246" i="1"/>
  <c r="ED246" i="1"/>
  <c r="EE246" i="1"/>
  <c r="EF246" i="1"/>
  <c r="EG246" i="1"/>
  <c r="EH246" i="1"/>
  <c r="EI246" i="1"/>
  <c r="EJ246" i="1"/>
  <c r="EK246" i="1"/>
  <c r="EL246" i="1"/>
  <c r="EM246" i="1"/>
  <c r="EN246" i="1"/>
  <c r="EO246" i="1"/>
  <c r="EP246" i="1"/>
  <c r="EQ246" i="1"/>
  <c r="ER246" i="1"/>
  <c r="ES246" i="1"/>
  <c r="ET246" i="1"/>
  <c r="EU246" i="1"/>
  <c r="EV246" i="1"/>
  <c r="EW246" i="1"/>
  <c r="EX246" i="1"/>
  <c r="EY246" i="1"/>
  <c r="EZ246" i="1"/>
  <c r="FA246" i="1"/>
  <c r="FB246" i="1"/>
  <c r="FC246" i="1"/>
  <c r="FD246" i="1"/>
  <c r="FE246" i="1"/>
  <c r="FF246" i="1"/>
  <c r="FG246" i="1"/>
  <c r="FH246" i="1"/>
  <c r="FI246" i="1"/>
  <c r="FJ246" i="1"/>
  <c r="FK246" i="1"/>
  <c r="FL246" i="1"/>
  <c r="FM246" i="1"/>
  <c r="FN246" i="1"/>
  <c r="FO246" i="1"/>
  <c r="FP246" i="1"/>
  <c r="FQ246" i="1"/>
  <c r="FR246" i="1"/>
  <c r="FS246" i="1"/>
  <c r="FT246" i="1"/>
  <c r="FU246" i="1"/>
  <c r="FV246" i="1"/>
  <c r="FW246" i="1"/>
  <c r="FX246" i="1"/>
  <c r="FY246" i="1"/>
  <c r="FZ246" i="1"/>
  <c r="GA246" i="1"/>
  <c r="GB246" i="1"/>
  <c r="GC246" i="1"/>
  <c r="GD246" i="1"/>
  <c r="GE246" i="1"/>
  <c r="GF246" i="1"/>
  <c r="GG246" i="1"/>
  <c r="GH246" i="1"/>
  <c r="GI246" i="1"/>
  <c r="GJ246" i="1"/>
  <c r="GK246" i="1"/>
  <c r="GL246" i="1"/>
  <c r="GM246" i="1"/>
  <c r="GN246" i="1"/>
  <c r="GO246" i="1"/>
  <c r="GP246" i="1"/>
  <c r="GQ246" i="1"/>
  <c r="GR246" i="1"/>
  <c r="GS246" i="1"/>
  <c r="GT246" i="1"/>
  <c r="GU246" i="1"/>
  <c r="GV246" i="1"/>
  <c r="GW246" i="1"/>
  <c r="GX246" i="1"/>
  <c r="C248" i="1"/>
  <c r="D248" i="1"/>
  <c r="AC248" i="1"/>
  <c r="AD248" i="1"/>
  <c r="CR248" i="1" s="1"/>
  <c r="Q248" i="1" s="1"/>
  <c r="AE248" i="1"/>
  <c r="AF248" i="1"/>
  <c r="CT248" i="1" s="1"/>
  <c r="S248" i="1" s="1"/>
  <c r="AF252" i="1" s="1"/>
  <c r="AG248" i="1"/>
  <c r="AH248" i="1"/>
  <c r="CV248" i="1" s="1"/>
  <c r="U248" i="1" s="1"/>
  <c r="AI248" i="1"/>
  <c r="AJ248" i="1"/>
  <c r="CX248" i="1" s="1"/>
  <c r="W248" i="1" s="1"/>
  <c r="CQ248" i="1"/>
  <c r="P248" i="1" s="1"/>
  <c r="CS248" i="1"/>
  <c r="R248" i="1" s="1"/>
  <c r="CU248" i="1"/>
  <c r="T248" i="1" s="1"/>
  <c r="CW248" i="1"/>
  <c r="V248" i="1" s="1"/>
  <c r="AI252" i="1" s="1"/>
  <c r="FR248" i="1"/>
  <c r="BY252" i="1" s="1"/>
  <c r="GL248" i="1"/>
  <c r="GN248" i="1"/>
  <c r="CB252" i="1" s="1"/>
  <c r="AS252" i="1" s="1"/>
  <c r="AS246" i="1" s="1"/>
  <c r="GO248" i="1"/>
  <c r="GV248" i="1"/>
  <c r="GX248" i="1"/>
  <c r="HC248" i="1"/>
  <c r="C249" i="1"/>
  <c r="D249" i="1"/>
  <c r="W249" i="1"/>
  <c r="AC249" i="1"/>
  <c r="AE249" i="1"/>
  <c r="CS249" i="1" s="1"/>
  <c r="R249" i="1" s="1"/>
  <c r="GK249" i="1" s="1"/>
  <c r="AF249" i="1"/>
  <c r="AG249" i="1"/>
  <c r="CU249" i="1" s="1"/>
  <c r="T249" i="1" s="1"/>
  <c r="AH249" i="1"/>
  <c r="AI249" i="1"/>
  <c r="CW249" i="1" s="1"/>
  <c r="V249" i="1" s="1"/>
  <c r="AJ249" i="1"/>
  <c r="CT249" i="1"/>
  <c r="S249" i="1" s="1"/>
  <c r="CV249" i="1"/>
  <c r="U249" i="1" s="1"/>
  <c r="CX249" i="1"/>
  <c r="FR249" i="1"/>
  <c r="GL249" i="1"/>
  <c r="GN249" i="1"/>
  <c r="GO249" i="1"/>
  <c r="CC252" i="1" s="1"/>
  <c r="CC246" i="1" s="1"/>
  <c r="GV249" i="1"/>
  <c r="HC249" i="1"/>
  <c r="GX249" i="1" s="1"/>
  <c r="C250" i="1"/>
  <c r="D250" i="1"/>
  <c r="AC250" i="1"/>
  <c r="AD250" i="1"/>
  <c r="AE250" i="1"/>
  <c r="AF250" i="1"/>
  <c r="CT250" i="1" s="1"/>
  <c r="S250" i="1" s="1"/>
  <c r="AG250" i="1"/>
  <c r="AH250" i="1"/>
  <c r="CV250" i="1" s="1"/>
  <c r="U250" i="1" s="1"/>
  <c r="AI250" i="1"/>
  <c r="AJ250" i="1"/>
  <c r="CX250" i="1" s="1"/>
  <c r="W250" i="1" s="1"/>
  <c r="CQ250" i="1"/>
  <c r="P250" i="1" s="1"/>
  <c r="CS250" i="1"/>
  <c r="R250" i="1" s="1"/>
  <c r="GK250" i="1" s="1"/>
  <c r="CU250" i="1"/>
  <c r="T250" i="1" s="1"/>
  <c r="CW250" i="1"/>
  <c r="V250" i="1" s="1"/>
  <c r="CY250" i="1"/>
  <c r="X250" i="1" s="1"/>
  <c r="FR250" i="1"/>
  <c r="GL250" i="1"/>
  <c r="GN250" i="1"/>
  <c r="GO250" i="1"/>
  <c r="GV250" i="1"/>
  <c r="HC250" i="1" s="1"/>
  <c r="GX250" i="1" s="1"/>
  <c r="B252" i="1"/>
  <c r="B246" i="1" s="1"/>
  <c r="C252" i="1"/>
  <c r="C246" i="1" s="1"/>
  <c r="D252" i="1"/>
  <c r="D246" i="1" s="1"/>
  <c r="F252" i="1"/>
  <c r="F246" i="1" s="1"/>
  <c r="G252" i="1"/>
  <c r="G246" i="1" s="1"/>
  <c r="AJ252" i="1"/>
  <c r="W252" i="1" s="1"/>
  <c r="AP252" i="1"/>
  <c r="AP246" i="1" s="1"/>
  <c r="AT252" i="1"/>
  <c r="BB252" i="1"/>
  <c r="BB246" i="1" s="1"/>
  <c r="BX252" i="1"/>
  <c r="AO252" i="1" s="1"/>
  <c r="BZ252" i="1"/>
  <c r="CK252" i="1"/>
  <c r="CK246" i="1" s="1"/>
  <c r="CL252" i="1"/>
  <c r="F261" i="1"/>
  <c r="F269" i="1"/>
  <c r="D281" i="1"/>
  <c r="B283" i="1"/>
  <c r="E283" i="1"/>
  <c r="Z283" i="1"/>
  <c r="AA283" i="1"/>
  <c r="AM283" i="1"/>
  <c r="AN283" i="1"/>
  <c r="BD283" i="1"/>
  <c r="BE283" i="1"/>
  <c r="BF283" i="1"/>
  <c r="BG283" i="1"/>
  <c r="BH283" i="1"/>
  <c r="BI283" i="1"/>
  <c r="BJ283" i="1"/>
  <c r="BK283" i="1"/>
  <c r="BL283" i="1"/>
  <c r="BM283" i="1"/>
  <c r="BN283" i="1"/>
  <c r="BO283" i="1"/>
  <c r="BP283" i="1"/>
  <c r="BQ283" i="1"/>
  <c r="BR283" i="1"/>
  <c r="BS283" i="1"/>
  <c r="BT283" i="1"/>
  <c r="BU283" i="1"/>
  <c r="BV283" i="1"/>
  <c r="BW283" i="1"/>
  <c r="CK283" i="1"/>
  <c r="CM283" i="1"/>
  <c r="CN283" i="1"/>
  <c r="CO283" i="1"/>
  <c r="CP283" i="1"/>
  <c r="CQ283" i="1"/>
  <c r="CR283" i="1"/>
  <c r="CS283" i="1"/>
  <c r="CT283" i="1"/>
  <c r="CU283" i="1"/>
  <c r="CV283" i="1"/>
  <c r="CW283" i="1"/>
  <c r="CX283" i="1"/>
  <c r="CY283" i="1"/>
  <c r="CZ283" i="1"/>
  <c r="DA283" i="1"/>
  <c r="DB283" i="1"/>
  <c r="DC283" i="1"/>
  <c r="DD283" i="1"/>
  <c r="DE283" i="1"/>
  <c r="DF283" i="1"/>
  <c r="DG283" i="1"/>
  <c r="DH283" i="1"/>
  <c r="DI283" i="1"/>
  <c r="DJ283" i="1"/>
  <c r="DK283" i="1"/>
  <c r="DL283" i="1"/>
  <c r="DM283" i="1"/>
  <c r="DN283" i="1"/>
  <c r="DO283" i="1"/>
  <c r="DP283" i="1"/>
  <c r="DQ283" i="1"/>
  <c r="DR283" i="1"/>
  <c r="DS283" i="1"/>
  <c r="DT283" i="1"/>
  <c r="DU283" i="1"/>
  <c r="DV283" i="1"/>
  <c r="DW283" i="1"/>
  <c r="DX283" i="1"/>
  <c r="DY283" i="1"/>
  <c r="DZ283" i="1"/>
  <c r="EA283" i="1"/>
  <c r="EB283" i="1"/>
  <c r="EC283" i="1"/>
  <c r="ED283" i="1"/>
  <c r="EE283" i="1"/>
  <c r="EF283" i="1"/>
  <c r="EG283" i="1"/>
  <c r="EH283" i="1"/>
  <c r="EI283" i="1"/>
  <c r="EJ283" i="1"/>
  <c r="EK283" i="1"/>
  <c r="EL283" i="1"/>
  <c r="EM283" i="1"/>
  <c r="EN283" i="1"/>
  <c r="EO283" i="1"/>
  <c r="EP283" i="1"/>
  <c r="EQ283" i="1"/>
  <c r="ER283" i="1"/>
  <c r="ES283" i="1"/>
  <c r="ET283" i="1"/>
  <c r="EU283" i="1"/>
  <c r="EV283" i="1"/>
  <c r="EW283" i="1"/>
  <c r="EX283" i="1"/>
  <c r="EY283" i="1"/>
  <c r="EZ283" i="1"/>
  <c r="FA283" i="1"/>
  <c r="FB283" i="1"/>
  <c r="FC283" i="1"/>
  <c r="FD283" i="1"/>
  <c r="FE283" i="1"/>
  <c r="FF283" i="1"/>
  <c r="FG283" i="1"/>
  <c r="FH283" i="1"/>
  <c r="FI283" i="1"/>
  <c r="FJ283" i="1"/>
  <c r="FK283" i="1"/>
  <c r="FL283" i="1"/>
  <c r="FM283" i="1"/>
  <c r="FN283" i="1"/>
  <c r="FO283" i="1"/>
  <c r="FP283" i="1"/>
  <c r="FQ283" i="1"/>
  <c r="FR283" i="1"/>
  <c r="FS283" i="1"/>
  <c r="FT283" i="1"/>
  <c r="FU283" i="1"/>
  <c r="FV283" i="1"/>
  <c r="FW283" i="1"/>
  <c r="FX283" i="1"/>
  <c r="FY283" i="1"/>
  <c r="FZ283" i="1"/>
  <c r="GA283" i="1"/>
  <c r="GB283" i="1"/>
  <c r="GC283" i="1"/>
  <c r="GD283" i="1"/>
  <c r="GE283" i="1"/>
  <c r="GF283" i="1"/>
  <c r="GG283" i="1"/>
  <c r="GH283" i="1"/>
  <c r="GI283" i="1"/>
  <c r="GJ283" i="1"/>
  <c r="GK283" i="1"/>
  <c r="GL283" i="1"/>
  <c r="GM283" i="1"/>
  <c r="GN283" i="1"/>
  <c r="GO283" i="1"/>
  <c r="GP283" i="1"/>
  <c r="GQ283" i="1"/>
  <c r="GR283" i="1"/>
  <c r="GS283" i="1"/>
  <c r="GT283" i="1"/>
  <c r="GU283" i="1"/>
  <c r="GV283" i="1"/>
  <c r="GW283" i="1"/>
  <c r="GX283" i="1"/>
  <c r="C285" i="1"/>
  <c r="D285" i="1"/>
  <c r="I285" i="1"/>
  <c r="AC285" i="1"/>
  <c r="AD285" i="1"/>
  <c r="CR285" i="1" s="1"/>
  <c r="Q285" i="1" s="1"/>
  <c r="AE285" i="1"/>
  <c r="AF285" i="1"/>
  <c r="CT285" i="1" s="1"/>
  <c r="S285" i="1" s="1"/>
  <c r="AG285" i="1"/>
  <c r="AH285" i="1"/>
  <c r="CV285" i="1" s="1"/>
  <c r="U285" i="1" s="1"/>
  <c r="AI285" i="1"/>
  <c r="AJ285" i="1"/>
  <c r="CX285" i="1" s="1"/>
  <c r="W285" i="1" s="1"/>
  <c r="CQ285" i="1"/>
  <c r="P285" i="1" s="1"/>
  <c r="CS285" i="1"/>
  <c r="R285" i="1" s="1"/>
  <c r="CU285" i="1"/>
  <c r="CW285" i="1"/>
  <c r="V285" i="1" s="1"/>
  <c r="FR285" i="1"/>
  <c r="GL285" i="1"/>
  <c r="GO285" i="1"/>
  <c r="GP285" i="1"/>
  <c r="GV285" i="1"/>
  <c r="HC285" i="1" s="1"/>
  <c r="GX285" i="1" s="1"/>
  <c r="AC286" i="1"/>
  <c r="AD286" i="1"/>
  <c r="AE286" i="1"/>
  <c r="AF286" i="1"/>
  <c r="CT286" i="1" s="1"/>
  <c r="AG286" i="1"/>
  <c r="AH286" i="1"/>
  <c r="CV286" i="1" s="1"/>
  <c r="AI286" i="1"/>
  <c r="AJ286" i="1"/>
  <c r="CX286" i="1" s="1"/>
  <c r="CQ286" i="1"/>
  <c r="CS286" i="1"/>
  <c r="CU286" i="1"/>
  <c r="CW286" i="1"/>
  <c r="FR286" i="1"/>
  <c r="GL286" i="1"/>
  <c r="GO286" i="1"/>
  <c r="GP286" i="1"/>
  <c r="GV286" i="1"/>
  <c r="HC286" i="1"/>
  <c r="I287" i="1"/>
  <c r="V287" i="1" s="1"/>
  <c r="AC287" i="1"/>
  <c r="AD287" i="1"/>
  <c r="CR287" i="1" s="1"/>
  <c r="AE287" i="1"/>
  <c r="AF287" i="1"/>
  <c r="CT287" i="1" s="1"/>
  <c r="AG287" i="1"/>
  <c r="AH287" i="1"/>
  <c r="CV287" i="1" s="1"/>
  <c r="AI287" i="1"/>
  <c r="AJ287" i="1"/>
  <c r="CX287" i="1" s="1"/>
  <c r="CQ287" i="1"/>
  <c r="CS287" i="1"/>
  <c r="R287" i="1" s="1"/>
  <c r="GK287" i="1" s="1"/>
  <c r="CU287" i="1"/>
  <c r="CW287" i="1"/>
  <c r="FR287" i="1"/>
  <c r="BY300" i="1" s="1"/>
  <c r="GL287" i="1"/>
  <c r="GO287" i="1"/>
  <c r="GP287" i="1"/>
  <c r="GV287" i="1"/>
  <c r="HC287" i="1" s="1"/>
  <c r="C288" i="1"/>
  <c r="D288" i="1"/>
  <c r="I288" i="1"/>
  <c r="AC288" i="1"/>
  <c r="AD288" i="1"/>
  <c r="CR288" i="1" s="1"/>
  <c r="Q288" i="1" s="1"/>
  <c r="AE288" i="1"/>
  <c r="AF288" i="1"/>
  <c r="CT288" i="1" s="1"/>
  <c r="S288" i="1" s="1"/>
  <c r="AG288" i="1"/>
  <c r="AH288" i="1"/>
  <c r="CV288" i="1" s="1"/>
  <c r="U288" i="1" s="1"/>
  <c r="AI288" i="1"/>
  <c r="AJ288" i="1"/>
  <c r="CX288" i="1" s="1"/>
  <c r="W288" i="1" s="1"/>
  <c r="CQ288" i="1"/>
  <c r="P288" i="1" s="1"/>
  <c r="CS288" i="1"/>
  <c r="R288" i="1" s="1"/>
  <c r="GK288" i="1" s="1"/>
  <c r="CU288" i="1"/>
  <c r="T288" i="1" s="1"/>
  <c r="CW288" i="1"/>
  <c r="V288" i="1" s="1"/>
  <c r="FR288" i="1"/>
  <c r="GL288" i="1"/>
  <c r="GO288" i="1"/>
  <c r="GP288" i="1"/>
  <c r="GV288" i="1"/>
  <c r="GX288" i="1"/>
  <c r="HC288" i="1"/>
  <c r="AC289" i="1"/>
  <c r="AD289" i="1"/>
  <c r="AE289" i="1"/>
  <c r="AF289" i="1"/>
  <c r="CT289" i="1" s="1"/>
  <c r="AG289" i="1"/>
  <c r="AH289" i="1"/>
  <c r="CV289" i="1" s="1"/>
  <c r="AI289" i="1"/>
  <c r="AJ289" i="1"/>
  <c r="CX289" i="1" s="1"/>
  <c r="CQ289" i="1"/>
  <c r="CS289" i="1"/>
  <c r="CU289" i="1"/>
  <c r="CW289" i="1"/>
  <c r="FR289" i="1"/>
  <c r="GL289" i="1"/>
  <c r="GO289" i="1"/>
  <c r="GP289" i="1"/>
  <c r="GV289" i="1"/>
  <c r="HC289" i="1"/>
  <c r="I290" i="1"/>
  <c r="GX290" i="1" s="1"/>
  <c r="AC290" i="1"/>
  <c r="AD290" i="1"/>
  <c r="CR290" i="1" s="1"/>
  <c r="Q290" i="1" s="1"/>
  <c r="AE290" i="1"/>
  <c r="AF290" i="1"/>
  <c r="CT290" i="1" s="1"/>
  <c r="S290" i="1" s="1"/>
  <c r="AG290" i="1"/>
  <c r="AH290" i="1"/>
  <c r="CV290" i="1" s="1"/>
  <c r="U290" i="1" s="1"/>
  <c r="AI290" i="1"/>
  <c r="AJ290" i="1"/>
  <c r="CX290" i="1" s="1"/>
  <c r="W290" i="1" s="1"/>
  <c r="CQ290" i="1"/>
  <c r="P290" i="1" s="1"/>
  <c r="CS290" i="1"/>
  <c r="R290" i="1" s="1"/>
  <c r="GK290" i="1" s="1"/>
  <c r="CU290" i="1"/>
  <c r="CW290" i="1"/>
  <c r="V290" i="1" s="1"/>
  <c r="FR290" i="1"/>
  <c r="GL290" i="1"/>
  <c r="GO290" i="1"/>
  <c r="GP290" i="1"/>
  <c r="GV290" i="1"/>
  <c r="HC290" i="1"/>
  <c r="C291" i="1"/>
  <c r="D291" i="1"/>
  <c r="I291" i="1"/>
  <c r="AC291" i="1"/>
  <c r="AD291" i="1"/>
  <c r="CR291" i="1" s="1"/>
  <c r="Q291" i="1" s="1"/>
  <c r="AE291" i="1"/>
  <c r="AF291" i="1"/>
  <c r="CT291" i="1" s="1"/>
  <c r="S291" i="1" s="1"/>
  <c r="AG291" i="1"/>
  <c r="AH291" i="1"/>
  <c r="CV291" i="1" s="1"/>
  <c r="U291" i="1" s="1"/>
  <c r="AI291" i="1"/>
  <c r="AJ291" i="1"/>
  <c r="CX291" i="1" s="1"/>
  <c r="W291" i="1" s="1"/>
  <c r="CQ291" i="1"/>
  <c r="P291" i="1" s="1"/>
  <c r="CS291" i="1"/>
  <c r="R291" i="1" s="1"/>
  <c r="GK291" i="1" s="1"/>
  <c r="CU291" i="1"/>
  <c r="T291" i="1" s="1"/>
  <c r="CW291" i="1"/>
  <c r="V291" i="1" s="1"/>
  <c r="FR291" i="1"/>
  <c r="GL291" i="1"/>
  <c r="GO291" i="1"/>
  <c r="GP291" i="1"/>
  <c r="GV291" i="1"/>
  <c r="GX291" i="1"/>
  <c r="HC291" i="1"/>
  <c r="AC292" i="1"/>
  <c r="AD292" i="1"/>
  <c r="AE292" i="1"/>
  <c r="AF292" i="1"/>
  <c r="CT292" i="1" s="1"/>
  <c r="AG292" i="1"/>
  <c r="AH292" i="1"/>
  <c r="CV292" i="1" s="1"/>
  <c r="AI292" i="1"/>
  <c r="AJ292" i="1"/>
  <c r="CX292" i="1" s="1"/>
  <c r="CQ292" i="1"/>
  <c r="CS292" i="1"/>
  <c r="CU292" i="1"/>
  <c r="CW292" i="1"/>
  <c r="FR292" i="1"/>
  <c r="GL292" i="1"/>
  <c r="GO292" i="1"/>
  <c r="GP292" i="1"/>
  <c r="GV292" i="1"/>
  <c r="HC292" i="1"/>
  <c r="I293" i="1"/>
  <c r="AC293" i="1"/>
  <c r="AD293" i="1"/>
  <c r="CR293" i="1" s="1"/>
  <c r="Q293" i="1" s="1"/>
  <c r="AE293" i="1"/>
  <c r="AF293" i="1"/>
  <c r="CT293" i="1" s="1"/>
  <c r="S293" i="1" s="1"/>
  <c r="AG293" i="1"/>
  <c r="AH293" i="1"/>
  <c r="CV293" i="1" s="1"/>
  <c r="U293" i="1" s="1"/>
  <c r="AI293" i="1"/>
  <c r="AJ293" i="1"/>
  <c r="CX293" i="1" s="1"/>
  <c r="W293" i="1" s="1"/>
  <c r="CQ293" i="1"/>
  <c r="P293" i="1" s="1"/>
  <c r="CS293" i="1"/>
  <c r="R293" i="1" s="1"/>
  <c r="GK293" i="1" s="1"/>
  <c r="CU293" i="1"/>
  <c r="CW293" i="1"/>
  <c r="V293" i="1" s="1"/>
  <c r="FR293" i="1"/>
  <c r="GL293" i="1"/>
  <c r="GO293" i="1"/>
  <c r="GP293" i="1"/>
  <c r="GV293" i="1"/>
  <c r="HC293" i="1" s="1"/>
  <c r="GX293" i="1" s="1"/>
  <c r="AC294" i="1"/>
  <c r="AD294" i="1"/>
  <c r="AE294" i="1"/>
  <c r="AF294" i="1"/>
  <c r="CT294" i="1" s="1"/>
  <c r="AG294" i="1"/>
  <c r="AH294" i="1"/>
  <c r="CV294" i="1" s="1"/>
  <c r="AI294" i="1"/>
  <c r="AJ294" i="1"/>
  <c r="CX294" i="1" s="1"/>
  <c r="CQ294" i="1"/>
  <c r="CS294" i="1"/>
  <c r="CU294" i="1"/>
  <c r="CW294" i="1"/>
  <c r="FR294" i="1"/>
  <c r="GL294" i="1"/>
  <c r="GO294" i="1"/>
  <c r="GP294" i="1"/>
  <c r="GV294" i="1"/>
  <c r="HC294" i="1"/>
  <c r="C295" i="1"/>
  <c r="D295" i="1"/>
  <c r="AC295" i="1"/>
  <c r="CQ295" i="1" s="1"/>
  <c r="P295" i="1" s="1"/>
  <c r="AE295" i="1"/>
  <c r="AF295" i="1"/>
  <c r="AG295" i="1"/>
  <c r="CU295" i="1" s="1"/>
  <c r="T295" i="1" s="1"/>
  <c r="AH295" i="1"/>
  <c r="AI295" i="1"/>
  <c r="CW295" i="1" s="1"/>
  <c r="V295" i="1" s="1"/>
  <c r="AJ295" i="1"/>
  <c r="CT295" i="1"/>
  <c r="S295" i="1" s="1"/>
  <c r="CV295" i="1"/>
  <c r="U295" i="1" s="1"/>
  <c r="CX295" i="1"/>
  <c r="W295" i="1" s="1"/>
  <c r="FR295" i="1"/>
  <c r="GL295" i="1"/>
  <c r="GO295" i="1"/>
  <c r="GP295" i="1"/>
  <c r="GV295" i="1"/>
  <c r="HC295" i="1" s="1"/>
  <c r="GX295" i="1" s="1"/>
  <c r="I296" i="1"/>
  <c r="U296" i="1"/>
  <c r="AC296" i="1"/>
  <c r="AE296" i="1"/>
  <c r="AF296" i="1"/>
  <c r="AG296" i="1"/>
  <c r="CU296" i="1" s="1"/>
  <c r="T296" i="1" s="1"/>
  <c r="AH296" i="1"/>
  <c r="AI296" i="1"/>
  <c r="CW296" i="1" s="1"/>
  <c r="V296" i="1" s="1"/>
  <c r="AJ296" i="1"/>
  <c r="CT296" i="1"/>
  <c r="S296" i="1" s="1"/>
  <c r="CV296" i="1"/>
  <c r="CX296" i="1"/>
  <c r="W296" i="1" s="1"/>
  <c r="FR296" i="1"/>
  <c r="GL296" i="1"/>
  <c r="GO296" i="1"/>
  <c r="GP296" i="1"/>
  <c r="GV296" i="1"/>
  <c r="HC296" i="1" s="1"/>
  <c r="GX296" i="1" s="1"/>
  <c r="C297" i="1"/>
  <c r="D297" i="1"/>
  <c r="P297" i="1"/>
  <c r="CP297" i="1" s="1"/>
  <c r="O297" i="1" s="1"/>
  <c r="V297" i="1"/>
  <c r="AC297" i="1"/>
  <c r="AD297" i="1"/>
  <c r="CR297" i="1" s="1"/>
  <c r="Q297" i="1" s="1"/>
  <c r="AE297" i="1"/>
  <c r="AF297" i="1"/>
  <c r="CT297" i="1" s="1"/>
  <c r="S297" i="1" s="1"/>
  <c r="AG297" i="1"/>
  <c r="AH297" i="1"/>
  <c r="CV297" i="1" s="1"/>
  <c r="U297" i="1" s="1"/>
  <c r="AI297" i="1"/>
  <c r="AJ297" i="1"/>
  <c r="CX297" i="1" s="1"/>
  <c r="W297" i="1" s="1"/>
  <c r="CQ297" i="1"/>
  <c r="CS297" i="1"/>
  <c r="R297" i="1" s="1"/>
  <c r="CU297" i="1"/>
  <c r="T297" i="1" s="1"/>
  <c r="CW297" i="1"/>
  <c r="FR297" i="1"/>
  <c r="GL297" i="1"/>
  <c r="GN297" i="1"/>
  <c r="GP297" i="1"/>
  <c r="GV297" i="1"/>
  <c r="GX297" i="1"/>
  <c r="HC297" i="1"/>
  <c r="I298" i="1"/>
  <c r="P298" i="1" s="1"/>
  <c r="CP298" i="1" s="1"/>
  <c r="O298" i="1" s="1"/>
  <c r="R298" i="1"/>
  <c r="GK298" i="1" s="1"/>
  <c r="AC298" i="1"/>
  <c r="AD298" i="1"/>
  <c r="CR298" i="1" s="1"/>
  <c r="Q298" i="1" s="1"/>
  <c r="AE298" i="1"/>
  <c r="AF298" i="1"/>
  <c r="CT298" i="1" s="1"/>
  <c r="S298" i="1" s="1"/>
  <c r="CZ298" i="1" s="1"/>
  <c r="Y298" i="1" s="1"/>
  <c r="AG298" i="1"/>
  <c r="AH298" i="1"/>
  <c r="CV298" i="1" s="1"/>
  <c r="U298" i="1" s="1"/>
  <c r="AI298" i="1"/>
  <c r="AJ298" i="1"/>
  <c r="CX298" i="1" s="1"/>
  <c r="W298" i="1" s="1"/>
  <c r="CQ298" i="1"/>
  <c r="CS298" i="1"/>
  <c r="CU298" i="1"/>
  <c r="T298" i="1" s="1"/>
  <c r="CW298" i="1"/>
  <c r="V298" i="1" s="1"/>
  <c r="FR298" i="1"/>
  <c r="GL298" i="1"/>
  <c r="GN298" i="1"/>
  <c r="GP298" i="1"/>
  <c r="GV298" i="1"/>
  <c r="HC298" i="1"/>
  <c r="B300" i="1"/>
  <c r="C300" i="1"/>
  <c r="C283" i="1" s="1"/>
  <c r="D300" i="1"/>
  <c r="D283" i="1" s="1"/>
  <c r="F300" i="1"/>
  <c r="F283" i="1" s="1"/>
  <c r="G300" i="1"/>
  <c r="G283" i="1" s="1"/>
  <c r="BB300" i="1"/>
  <c r="BB283" i="1" s="1"/>
  <c r="BX300" i="1"/>
  <c r="BX283" i="1" s="1"/>
  <c r="BZ300" i="1"/>
  <c r="BZ283" i="1" s="1"/>
  <c r="CD300" i="1"/>
  <c r="CD283" i="1" s="1"/>
  <c r="CK300" i="1"/>
  <c r="CL300" i="1"/>
  <c r="CL283" i="1" s="1"/>
  <c r="F313" i="1"/>
  <c r="B329" i="1"/>
  <c r="B22" i="1" s="1"/>
  <c r="C329" i="1"/>
  <c r="C22" i="1" s="1"/>
  <c r="D329" i="1"/>
  <c r="D22" i="1" s="1"/>
  <c r="F329" i="1"/>
  <c r="F22" i="1" s="1"/>
  <c r="G329" i="1"/>
  <c r="G22" i="1" s="1"/>
  <c r="B361" i="1"/>
  <c r="B18" i="1" s="1"/>
  <c r="C361" i="1"/>
  <c r="C18" i="1" s="1"/>
  <c r="D361" i="1"/>
  <c r="D18" i="1" s="1"/>
  <c r="F361" i="1"/>
  <c r="F18" i="1" s="1"/>
  <c r="G361" i="1"/>
  <c r="G448" i="5" l="1"/>
  <c r="O448" i="5" s="1"/>
  <c r="G482" i="5"/>
  <c r="O482" i="5" s="1"/>
  <c r="W308" i="5"/>
  <c r="W192" i="5"/>
  <c r="J362" i="5"/>
  <c r="P362" i="5" s="1"/>
  <c r="W258" i="5"/>
  <c r="X493" i="5"/>
  <c r="G222" i="5"/>
  <c r="O222" i="5" s="1"/>
  <c r="J542" i="5"/>
  <c r="P542" i="5" s="1"/>
  <c r="J426" i="5"/>
  <c r="P426" i="5" s="1"/>
  <c r="J544" i="5" s="1"/>
  <c r="G330" i="5"/>
  <c r="O330" i="5" s="1"/>
  <c r="J374" i="5"/>
  <c r="P374" i="5" s="1"/>
  <c r="J330" i="5"/>
  <c r="P330" i="5" s="1"/>
  <c r="J180" i="5"/>
  <c r="P180" i="5" s="1"/>
  <c r="W281" i="5"/>
  <c r="G493" i="5"/>
  <c r="O493" i="5" s="1"/>
  <c r="G590" i="5"/>
  <c r="O590" i="5" s="1"/>
  <c r="W222" i="5"/>
  <c r="G459" i="5"/>
  <c r="O459" i="5" s="1"/>
  <c r="J258" i="5"/>
  <c r="P258" i="5" s="1"/>
  <c r="G281" i="5"/>
  <c r="O281" i="5" s="1"/>
  <c r="G470" i="5"/>
  <c r="O470" i="5" s="1"/>
  <c r="G180" i="5"/>
  <c r="O180" i="5" s="1"/>
  <c r="G603" i="5"/>
  <c r="O603" i="5" s="1"/>
  <c r="G624" i="5" s="1"/>
  <c r="X415" i="5"/>
  <c r="G246" i="5"/>
  <c r="O246" i="5" s="1"/>
  <c r="X459" i="5"/>
  <c r="J281" i="5"/>
  <c r="P281" i="5" s="1"/>
  <c r="X470" i="5"/>
  <c r="X622" i="5"/>
  <c r="J295" i="5"/>
  <c r="P295" i="5" s="1"/>
  <c r="G18" i="1"/>
  <c r="AG943" i="6"/>
  <c r="C943" i="6"/>
  <c r="J624" i="5"/>
  <c r="G566" i="5"/>
  <c r="W295" i="5"/>
  <c r="G308" i="5"/>
  <c r="O308" i="5" s="1"/>
  <c r="J163" i="5"/>
  <c r="G21" i="5"/>
  <c r="G163" i="5"/>
  <c r="G16" i="5"/>
  <c r="GK285" i="1"/>
  <c r="CZ249" i="1"/>
  <c r="Y249" i="1" s="1"/>
  <c r="CY249" i="1"/>
  <c r="X249" i="1" s="1"/>
  <c r="AE252" i="1"/>
  <c r="GK248" i="1"/>
  <c r="AP300" i="1"/>
  <c r="BY283" i="1"/>
  <c r="CI300" i="1"/>
  <c r="GK297" i="1"/>
  <c r="CY297" i="1"/>
  <c r="X297" i="1" s="1"/>
  <c r="AI246" i="1"/>
  <c r="V252" i="1"/>
  <c r="S252" i="1"/>
  <c r="AF246" i="1"/>
  <c r="CY288" i="1"/>
  <c r="X288" i="1" s="1"/>
  <c r="CZ288" i="1"/>
  <c r="Y288" i="1" s="1"/>
  <c r="CL246" i="1"/>
  <c r="BC252" i="1"/>
  <c r="AH252" i="1"/>
  <c r="CS296" i="1"/>
  <c r="R296" i="1" s="1"/>
  <c r="GK296" i="1" s="1"/>
  <c r="AD296" i="1"/>
  <c r="CR296" i="1" s="1"/>
  <c r="Q296" i="1" s="1"/>
  <c r="AB294" i="1"/>
  <c r="CR294" i="1"/>
  <c r="CY293" i="1"/>
  <c r="X293" i="1" s="1"/>
  <c r="CZ293" i="1"/>
  <c r="Y293" i="1" s="1"/>
  <c r="AB293" i="1"/>
  <c r="CY290" i="1"/>
  <c r="X290" i="1" s="1"/>
  <c r="CZ290" i="1"/>
  <c r="Y290" i="1" s="1"/>
  <c r="AB290" i="1"/>
  <c r="GX287" i="1"/>
  <c r="T287" i="1"/>
  <c r="AB286" i="1"/>
  <c r="CR286" i="1"/>
  <c r="CY285" i="1"/>
  <c r="X285" i="1" s="1"/>
  <c r="CZ285" i="1"/>
  <c r="Y285" i="1" s="1"/>
  <c r="W246" i="1"/>
  <c r="F276" i="1"/>
  <c r="AB248" i="1"/>
  <c r="BC329" i="1"/>
  <c r="BC300" i="1"/>
  <c r="AU300" i="1"/>
  <c r="AQ300" i="1"/>
  <c r="CY298" i="1"/>
  <c r="X298" i="1" s="1"/>
  <c r="GM298" i="1" s="1"/>
  <c r="CZ297" i="1"/>
  <c r="Y297" i="1" s="1"/>
  <c r="GO297" i="1" s="1"/>
  <c r="AB297" i="1"/>
  <c r="AB296" i="1"/>
  <c r="CQ296" i="1"/>
  <c r="P296" i="1" s="1"/>
  <c r="CP296" i="1" s="1"/>
  <c r="O296" i="1" s="1"/>
  <c r="T293" i="1"/>
  <c r="R292" i="1"/>
  <c r="GK292" i="1" s="1"/>
  <c r="U292" i="1"/>
  <c r="AB292" i="1"/>
  <c r="CR292" i="1"/>
  <c r="Q292" i="1" s="1"/>
  <c r="CP291" i="1"/>
  <c r="O291" i="1" s="1"/>
  <c r="CX379" i="3"/>
  <c r="CX383" i="3"/>
  <c r="CX387" i="3"/>
  <c r="CX391" i="3"/>
  <c r="CX381" i="3"/>
  <c r="CX385" i="3"/>
  <c r="CX389" i="3"/>
  <c r="CX380" i="3"/>
  <c r="CX384" i="3"/>
  <c r="CX388" i="3"/>
  <c r="CX390" i="3"/>
  <c r="CX386" i="3"/>
  <c r="CX382" i="3"/>
  <c r="I292" i="1"/>
  <c r="GX292" i="1" s="1"/>
  <c r="I294" i="1"/>
  <c r="T294" i="1" s="1"/>
  <c r="T290" i="1"/>
  <c r="AB289" i="1"/>
  <c r="CR289" i="1"/>
  <c r="CP288" i="1"/>
  <c r="O288" i="1" s="1"/>
  <c r="CX375" i="3"/>
  <c r="CX373" i="3"/>
  <c r="CX377" i="3"/>
  <c r="CX376" i="3"/>
  <c r="CX374" i="3"/>
  <c r="CX378" i="3"/>
  <c r="I289" i="1"/>
  <c r="GX289" i="1" s="1"/>
  <c r="U287" i="1"/>
  <c r="Q287" i="1"/>
  <c r="T285" i="1"/>
  <c r="CZ250" i="1"/>
  <c r="Y250" i="1" s="1"/>
  <c r="AG252" i="1"/>
  <c r="F219" i="1"/>
  <c r="AD212" i="1"/>
  <c r="CR212" i="1" s="1"/>
  <c r="Q212" i="1" s="1"/>
  <c r="CS212" i="1"/>
  <c r="R212" i="1" s="1"/>
  <c r="GK212" i="1" s="1"/>
  <c r="CQ211" i="1"/>
  <c r="P211" i="1" s="1"/>
  <c r="AB209" i="1"/>
  <c r="CR209" i="1"/>
  <c r="Q209" i="1" s="1"/>
  <c r="CP209" i="1" s="1"/>
  <c r="O209" i="1" s="1"/>
  <c r="CP208" i="1"/>
  <c r="O208" i="1" s="1"/>
  <c r="T206" i="1"/>
  <c r="CZ192" i="1"/>
  <c r="Y192" i="1" s="1"/>
  <c r="CY192" i="1"/>
  <c r="X192" i="1" s="1"/>
  <c r="CZ188" i="1"/>
  <c r="Y188" i="1" s="1"/>
  <c r="CY188" i="1"/>
  <c r="X188" i="1" s="1"/>
  <c r="CZ143" i="1"/>
  <c r="Y143" i="1" s="1"/>
  <c r="CY143" i="1"/>
  <c r="X143" i="1" s="1"/>
  <c r="AB298" i="1"/>
  <c r="S294" i="1"/>
  <c r="AB291" i="1"/>
  <c r="AT246" i="1"/>
  <c r="F270" i="1"/>
  <c r="BY183" i="1"/>
  <c r="CI215" i="1"/>
  <c r="AP215" i="1"/>
  <c r="CZ213" i="1"/>
  <c r="Y213" i="1" s="1"/>
  <c r="CY213" i="1"/>
  <c r="X213" i="1" s="1"/>
  <c r="CY212" i="1"/>
  <c r="X212" i="1" s="1"/>
  <c r="AD210" i="1"/>
  <c r="CR210" i="1" s="1"/>
  <c r="Q210" i="1" s="1"/>
  <c r="CS210" i="1"/>
  <c r="R210" i="1" s="1"/>
  <c r="CY208" i="1"/>
  <c r="X208" i="1" s="1"/>
  <c r="CZ208" i="1"/>
  <c r="Y208" i="1" s="1"/>
  <c r="AB208" i="1"/>
  <c r="CD215" i="1"/>
  <c r="CZ197" i="1"/>
  <c r="Y197" i="1" s="1"/>
  <c r="CY197" i="1"/>
  <c r="X197" i="1" s="1"/>
  <c r="AJ215" i="1"/>
  <c r="CG300" i="1"/>
  <c r="AO300" i="1"/>
  <c r="GX298" i="1"/>
  <c r="CP293" i="1"/>
  <c r="O293" i="1" s="1"/>
  <c r="V292" i="1"/>
  <c r="W292" i="1"/>
  <c r="S292" i="1"/>
  <c r="CP290" i="1"/>
  <c r="O290" i="1" s="1"/>
  <c r="V289" i="1"/>
  <c r="W289" i="1"/>
  <c r="S289" i="1"/>
  <c r="W287" i="1"/>
  <c r="S287" i="1"/>
  <c r="AB287" i="1"/>
  <c r="CP285" i="1"/>
  <c r="O285" i="1" s="1"/>
  <c r="CX364" i="3"/>
  <c r="CX368" i="3"/>
  <c r="CX363" i="3"/>
  <c r="CX365" i="3"/>
  <c r="CX371" i="3"/>
  <c r="CX367" i="3"/>
  <c r="CX369" i="3"/>
  <c r="CX366" i="3"/>
  <c r="CX372" i="3"/>
  <c r="CX362" i="3"/>
  <c r="CX370" i="3"/>
  <c r="I286" i="1"/>
  <c r="T286" i="1" s="1"/>
  <c r="F265" i="1"/>
  <c r="F256" i="1"/>
  <c r="AO246" i="1"/>
  <c r="AB250" i="1"/>
  <c r="CR250" i="1"/>
  <c r="Q250" i="1" s="1"/>
  <c r="CP250" i="1" s="1"/>
  <c r="O250" i="1" s="1"/>
  <c r="CQ249" i="1"/>
  <c r="P249" i="1" s="1"/>
  <c r="BY246" i="1"/>
  <c r="CI252" i="1"/>
  <c r="CP248" i="1"/>
  <c r="O248" i="1" s="1"/>
  <c r="AC252" i="1"/>
  <c r="CK183" i="1"/>
  <c r="BB215" i="1"/>
  <c r="CZ212" i="1"/>
  <c r="Y212" i="1" s="1"/>
  <c r="CZ211" i="1"/>
  <c r="Y211" i="1" s="1"/>
  <c r="CY211" i="1"/>
  <c r="X211" i="1" s="1"/>
  <c r="CY210" i="1"/>
  <c r="X210" i="1" s="1"/>
  <c r="CP210" i="1"/>
  <c r="O210" i="1" s="1"/>
  <c r="AD207" i="1"/>
  <c r="CR207" i="1" s="1"/>
  <c r="Q207" i="1" s="1"/>
  <c r="CS207" i="1"/>
  <c r="R207" i="1" s="1"/>
  <c r="GK207" i="1" s="1"/>
  <c r="GX206" i="1"/>
  <c r="V206" i="1"/>
  <c r="AD206" i="1"/>
  <c r="CR206" i="1" s="1"/>
  <c r="Q206" i="1" s="1"/>
  <c r="CS206" i="1"/>
  <c r="R206" i="1" s="1"/>
  <c r="GK206" i="1" s="1"/>
  <c r="CZ204" i="1"/>
  <c r="Y204" i="1" s="1"/>
  <c r="CY204" i="1"/>
  <c r="X204" i="1" s="1"/>
  <c r="CZ196" i="1"/>
  <c r="Y196" i="1" s="1"/>
  <c r="CY196" i="1"/>
  <c r="X196" i="1" s="1"/>
  <c r="V294" i="1"/>
  <c r="CY291" i="1"/>
  <c r="X291" i="1" s="1"/>
  <c r="CZ291" i="1"/>
  <c r="Y291" i="1" s="1"/>
  <c r="AB288" i="1"/>
  <c r="P287" i="1"/>
  <c r="CP287" i="1" s="1"/>
  <c r="O287" i="1" s="1"/>
  <c r="V286" i="1"/>
  <c r="AI300" i="1" s="1"/>
  <c r="BZ246" i="1"/>
  <c r="AQ252" i="1"/>
  <c r="CJ252" i="1"/>
  <c r="CP212" i="1"/>
  <c r="O212" i="1" s="1"/>
  <c r="AB200" i="1"/>
  <c r="CQ200" i="1"/>
  <c r="P200" i="1" s="1"/>
  <c r="CP200" i="1" s="1"/>
  <c r="O200" i="1" s="1"/>
  <c r="AD295" i="1"/>
  <c r="CR295" i="1" s="1"/>
  <c r="Q295" i="1" s="1"/>
  <c r="CP295" i="1" s="1"/>
  <c r="O295" i="1" s="1"/>
  <c r="CS295" i="1"/>
  <c r="R295" i="1" s="1"/>
  <c r="GK295" i="1" s="1"/>
  <c r="U294" i="1"/>
  <c r="R286" i="1"/>
  <c r="GK286" i="1" s="1"/>
  <c r="U286" i="1"/>
  <c r="AB285" i="1"/>
  <c r="CY248" i="1"/>
  <c r="X248" i="1" s="1"/>
  <c r="AK252" i="1" s="1"/>
  <c r="CZ248" i="1"/>
  <c r="Y248" i="1" s="1"/>
  <c r="AL252" i="1" s="1"/>
  <c r="CG183" i="1"/>
  <c r="AX215" i="1"/>
  <c r="CQ213" i="1"/>
  <c r="P213" i="1" s="1"/>
  <c r="AQ215" i="1"/>
  <c r="BZ183" i="1"/>
  <c r="CY207" i="1"/>
  <c r="X207" i="1" s="1"/>
  <c r="CP207" i="1"/>
  <c r="O207" i="1" s="1"/>
  <c r="CY206" i="1"/>
  <c r="X206" i="1" s="1"/>
  <c r="CP206" i="1"/>
  <c r="O206" i="1" s="1"/>
  <c r="AB205" i="1"/>
  <c r="CQ205" i="1"/>
  <c r="P205" i="1" s="1"/>
  <c r="CP205" i="1" s="1"/>
  <c r="O205" i="1" s="1"/>
  <c r="CZ203" i="1"/>
  <c r="Y203" i="1" s="1"/>
  <c r="CY203" i="1"/>
  <c r="X203" i="1" s="1"/>
  <c r="CZ200" i="1"/>
  <c r="Y200" i="1" s="1"/>
  <c r="CY200" i="1"/>
  <c r="X200" i="1" s="1"/>
  <c r="CZ193" i="1"/>
  <c r="Y193" i="1" s="1"/>
  <c r="CY193" i="1"/>
  <c r="X193" i="1" s="1"/>
  <c r="CZ146" i="1"/>
  <c r="Y146" i="1" s="1"/>
  <c r="CY146" i="1"/>
  <c r="X146" i="1" s="1"/>
  <c r="CZ132" i="1"/>
  <c r="Y132" i="1" s="1"/>
  <c r="CY132" i="1"/>
  <c r="X132" i="1" s="1"/>
  <c r="AD249" i="1"/>
  <c r="CR249" i="1" s="1"/>
  <c r="Q249" i="1" s="1"/>
  <c r="AD252" i="1" s="1"/>
  <c r="AD213" i="1"/>
  <c r="CR213" i="1" s="1"/>
  <c r="Q213" i="1" s="1"/>
  <c r="AB212" i="1"/>
  <c r="AD211" i="1"/>
  <c r="CR211" i="1" s="1"/>
  <c r="Q211" i="1" s="1"/>
  <c r="AB210" i="1"/>
  <c r="AB207" i="1"/>
  <c r="CX325" i="3"/>
  <c r="CX329" i="3"/>
  <c r="CX324" i="3"/>
  <c r="CX328" i="3"/>
  <c r="CX326" i="3"/>
  <c r="CX323" i="3"/>
  <c r="CX327" i="3"/>
  <c r="AB206" i="1"/>
  <c r="U205" i="1"/>
  <c r="AH215" i="1" s="1"/>
  <c r="Q205" i="1"/>
  <c r="AB197" i="1"/>
  <c r="CQ197" i="1"/>
  <c r="P197" i="1" s="1"/>
  <c r="CP197" i="1" s="1"/>
  <c r="O197" i="1" s="1"/>
  <c r="AD195" i="1"/>
  <c r="CS195" i="1"/>
  <c r="R195" i="1" s="1"/>
  <c r="GK195" i="1" s="1"/>
  <c r="AB193" i="1"/>
  <c r="CQ193" i="1"/>
  <c r="P193" i="1" s="1"/>
  <c r="CP193" i="1" s="1"/>
  <c r="O193" i="1" s="1"/>
  <c r="S190" i="1"/>
  <c r="AF215" i="1" s="1"/>
  <c r="V190" i="1"/>
  <c r="AI215" i="1" s="1"/>
  <c r="AD190" i="1"/>
  <c r="CR190" i="1" s="1"/>
  <c r="Q190" i="1" s="1"/>
  <c r="CS190" i="1"/>
  <c r="R190" i="1" s="1"/>
  <c r="GK190" i="1" s="1"/>
  <c r="AB188" i="1"/>
  <c r="CQ188" i="1"/>
  <c r="P188" i="1" s="1"/>
  <c r="CP188" i="1" s="1"/>
  <c r="O188" i="1" s="1"/>
  <c r="AB185" i="1"/>
  <c r="BC77" i="1"/>
  <c r="F168" i="1"/>
  <c r="AB146" i="1"/>
  <c r="CQ146" i="1"/>
  <c r="P146" i="1" s="1"/>
  <c r="CP146" i="1" s="1"/>
  <c r="O146" i="1" s="1"/>
  <c r="AB143" i="1"/>
  <c r="CQ143" i="1"/>
  <c r="P143" i="1" s="1"/>
  <c r="CP143" i="1" s="1"/>
  <c r="O143" i="1" s="1"/>
  <c r="CZ141" i="1"/>
  <c r="Y141" i="1" s="1"/>
  <c r="CY141" i="1"/>
  <c r="X141" i="1" s="1"/>
  <c r="CZ139" i="1"/>
  <c r="Y139" i="1" s="1"/>
  <c r="CY139" i="1"/>
  <c r="X139" i="1" s="1"/>
  <c r="CZ137" i="1"/>
  <c r="Y137" i="1" s="1"/>
  <c r="CY137" i="1"/>
  <c r="X137" i="1" s="1"/>
  <c r="CZ134" i="1"/>
  <c r="Y134" i="1" s="1"/>
  <c r="CY134" i="1"/>
  <c r="X134" i="1" s="1"/>
  <c r="CP130" i="1"/>
  <c r="O130" i="1" s="1"/>
  <c r="BZ152" i="1"/>
  <c r="AB190" i="1"/>
  <c r="AB189" i="1"/>
  <c r="CQ189" i="1"/>
  <c r="P189" i="1" s="1"/>
  <c r="CP189" i="1" s="1"/>
  <c r="O189" i="1" s="1"/>
  <c r="CY186" i="1"/>
  <c r="X186" i="1" s="1"/>
  <c r="AD186" i="1"/>
  <c r="CR186" i="1" s="1"/>
  <c r="Q186" i="1" s="1"/>
  <c r="CS186" i="1"/>
  <c r="R186" i="1" s="1"/>
  <c r="GN150" i="1"/>
  <c r="GM150" i="1"/>
  <c r="AD145" i="1"/>
  <c r="CS145" i="1"/>
  <c r="R145" i="1" s="1"/>
  <c r="GK145" i="1" s="1"/>
  <c r="CQ132" i="1"/>
  <c r="P132" i="1" s="1"/>
  <c r="AD131" i="1"/>
  <c r="CR131" i="1" s="1"/>
  <c r="CS131" i="1"/>
  <c r="CC77" i="1"/>
  <c r="AT152" i="1"/>
  <c r="CZ130" i="1"/>
  <c r="Y130" i="1" s="1"/>
  <c r="CY130" i="1"/>
  <c r="X130" i="1" s="1"/>
  <c r="BY152" i="1"/>
  <c r="CD152" i="1"/>
  <c r="CG252" i="1"/>
  <c r="AB203" i="1"/>
  <c r="CQ203" i="1"/>
  <c r="P203" i="1" s="1"/>
  <c r="CP203" i="1" s="1"/>
  <c r="O203" i="1" s="1"/>
  <c r="AD199" i="1"/>
  <c r="CS199" i="1"/>
  <c r="R199" i="1" s="1"/>
  <c r="GK199" i="1" s="1"/>
  <c r="AD198" i="1"/>
  <c r="CS198" i="1"/>
  <c r="R198" i="1" s="1"/>
  <c r="GK198" i="1" s="1"/>
  <c r="AD194" i="1"/>
  <c r="CS194" i="1"/>
  <c r="R194" i="1" s="1"/>
  <c r="AD191" i="1"/>
  <c r="CR191" i="1" s="1"/>
  <c r="Q191" i="1" s="1"/>
  <c r="CP191" i="1" s="1"/>
  <c r="O191" i="1" s="1"/>
  <c r="CS191" i="1"/>
  <c r="R191" i="1" s="1"/>
  <c r="GX190" i="1"/>
  <c r="CJ215" i="1" s="1"/>
  <c r="P190" i="1"/>
  <c r="CP190" i="1" s="1"/>
  <c r="O190" i="1" s="1"/>
  <c r="AB186" i="1"/>
  <c r="CY185" i="1"/>
  <c r="X185" i="1" s="1"/>
  <c r="CZ185" i="1"/>
  <c r="Y185" i="1" s="1"/>
  <c r="CL183" i="1"/>
  <c r="CQ141" i="1"/>
  <c r="P141" i="1" s="1"/>
  <c r="CQ139" i="1"/>
  <c r="P139" i="1" s="1"/>
  <c r="CQ137" i="1"/>
  <c r="P137" i="1" s="1"/>
  <c r="CQ134" i="1"/>
  <c r="P134" i="1" s="1"/>
  <c r="T132" i="1"/>
  <c r="GX129" i="1"/>
  <c r="T129" i="1"/>
  <c r="GX128" i="1"/>
  <c r="T128" i="1"/>
  <c r="GX127" i="1"/>
  <c r="T127" i="1"/>
  <c r="GX126" i="1"/>
  <c r="T126" i="1"/>
  <c r="CY125" i="1"/>
  <c r="X125" i="1" s="1"/>
  <c r="CY123" i="1"/>
  <c r="X123" i="1" s="1"/>
  <c r="CZ123" i="1"/>
  <c r="Y123" i="1" s="1"/>
  <c r="AB123" i="1"/>
  <c r="CZ205" i="1"/>
  <c r="Y205" i="1" s="1"/>
  <c r="CX317" i="3"/>
  <c r="CX321" i="3"/>
  <c r="CX316" i="3"/>
  <c r="CX320" i="3"/>
  <c r="CX314" i="3"/>
  <c r="CX318" i="3"/>
  <c r="CX322" i="3"/>
  <c r="CX315" i="3"/>
  <c r="CX319" i="3"/>
  <c r="AB204" i="1"/>
  <c r="CQ204" i="1"/>
  <c r="P204" i="1" s="1"/>
  <c r="CP204" i="1" s="1"/>
  <c r="O204" i="1" s="1"/>
  <c r="AD202" i="1"/>
  <c r="CS202" i="1"/>
  <c r="R202" i="1" s="1"/>
  <c r="AD201" i="1"/>
  <c r="CS201" i="1"/>
  <c r="R201" i="1" s="1"/>
  <c r="CY201" i="1" s="1"/>
  <c r="X201" i="1" s="1"/>
  <c r="AB196" i="1"/>
  <c r="CQ196" i="1"/>
  <c r="P196" i="1" s="1"/>
  <c r="CP196" i="1" s="1"/>
  <c r="O196" i="1" s="1"/>
  <c r="CY195" i="1"/>
  <c r="X195" i="1" s="1"/>
  <c r="AB192" i="1"/>
  <c r="CQ192" i="1"/>
  <c r="P192" i="1" s="1"/>
  <c r="CP192" i="1" s="1"/>
  <c r="O192" i="1" s="1"/>
  <c r="AB191" i="1"/>
  <c r="T190" i="1"/>
  <c r="AG215" i="1" s="1"/>
  <c r="CZ189" i="1"/>
  <c r="Y189" i="1" s="1"/>
  <c r="CY189" i="1"/>
  <c r="X189" i="1" s="1"/>
  <c r="CY187" i="1"/>
  <c r="X187" i="1" s="1"/>
  <c r="AD187" i="1"/>
  <c r="CR187" i="1" s="1"/>
  <c r="Q187" i="1" s="1"/>
  <c r="CP187" i="1" s="1"/>
  <c r="O187" i="1" s="1"/>
  <c r="CS187" i="1"/>
  <c r="R187" i="1" s="1"/>
  <c r="CP186" i="1"/>
  <c r="O186" i="1" s="1"/>
  <c r="CP185" i="1"/>
  <c r="O185" i="1" s="1"/>
  <c r="AD148" i="1"/>
  <c r="CS148" i="1"/>
  <c r="R148" i="1" s="1"/>
  <c r="AD147" i="1"/>
  <c r="CS147" i="1"/>
  <c r="R147" i="1" s="1"/>
  <c r="CZ145" i="1"/>
  <c r="Y145" i="1" s="1"/>
  <c r="CY144" i="1"/>
  <c r="X144" i="1" s="1"/>
  <c r="AD144" i="1"/>
  <c r="CS144" i="1"/>
  <c r="R144" i="1" s="1"/>
  <c r="AD142" i="1"/>
  <c r="CR142" i="1" s="1"/>
  <c r="Q142" i="1" s="1"/>
  <c r="CP142" i="1" s="1"/>
  <c r="O142" i="1" s="1"/>
  <c r="CS142" i="1"/>
  <c r="R142" i="1" s="1"/>
  <c r="AD140" i="1"/>
  <c r="CR140" i="1" s="1"/>
  <c r="Q140" i="1" s="1"/>
  <c r="CP140" i="1" s="1"/>
  <c r="O140" i="1" s="1"/>
  <c r="CS140" i="1"/>
  <c r="R140" i="1" s="1"/>
  <c r="CY140" i="1" s="1"/>
  <c r="X140" i="1" s="1"/>
  <c r="AD138" i="1"/>
  <c r="CR138" i="1" s="1"/>
  <c r="Q138" i="1" s="1"/>
  <c r="CP138" i="1" s="1"/>
  <c r="O138" i="1" s="1"/>
  <c r="CS138" i="1"/>
  <c r="R138" i="1" s="1"/>
  <c r="AD136" i="1"/>
  <c r="CR136" i="1" s="1"/>
  <c r="Q136" i="1" s="1"/>
  <c r="CP136" i="1" s="1"/>
  <c r="O136" i="1" s="1"/>
  <c r="CS136" i="1"/>
  <c r="R136" i="1" s="1"/>
  <c r="CY136" i="1" s="1"/>
  <c r="X136" i="1" s="1"/>
  <c r="AD135" i="1"/>
  <c r="CR135" i="1" s="1"/>
  <c r="Q135" i="1" s="1"/>
  <c r="CP135" i="1" s="1"/>
  <c r="O135" i="1" s="1"/>
  <c r="CS135" i="1"/>
  <c r="R135" i="1" s="1"/>
  <c r="AD133" i="1"/>
  <c r="CR133" i="1" s="1"/>
  <c r="CS133" i="1"/>
  <c r="CR129" i="1"/>
  <c r="Q129" i="1" s="1"/>
  <c r="CP129" i="1" s="1"/>
  <c r="O129" i="1" s="1"/>
  <c r="AB129" i="1"/>
  <c r="U128" i="1"/>
  <c r="CR128" i="1"/>
  <c r="Q128" i="1" s="1"/>
  <c r="CP128" i="1" s="1"/>
  <c r="O128" i="1" s="1"/>
  <c r="AB128" i="1"/>
  <c r="R127" i="1"/>
  <c r="GK127" i="1" s="1"/>
  <c r="U127" i="1"/>
  <c r="CR127" i="1"/>
  <c r="Q127" i="1" s="1"/>
  <c r="CP127" i="1" s="1"/>
  <c r="O127" i="1" s="1"/>
  <c r="AB127" i="1"/>
  <c r="R126" i="1"/>
  <c r="GK126" i="1" s="1"/>
  <c r="U126" i="1"/>
  <c r="CR126" i="1"/>
  <c r="Q126" i="1" s="1"/>
  <c r="CP126" i="1" s="1"/>
  <c r="O126" i="1" s="1"/>
  <c r="AB126" i="1"/>
  <c r="CR118" i="1"/>
  <c r="AB118" i="1"/>
  <c r="CX305" i="3"/>
  <c r="CX309" i="3"/>
  <c r="CX304" i="3"/>
  <c r="CX308" i="3"/>
  <c r="CX312" i="3"/>
  <c r="CX306" i="3"/>
  <c r="CX310" i="3"/>
  <c r="CX307" i="3"/>
  <c r="CX311" i="3"/>
  <c r="CX293" i="3"/>
  <c r="CX297" i="3"/>
  <c r="CX301" i="3"/>
  <c r="CX296" i="3"/>
  <c r="CX300" i="3"/>
  <c r="CX295" i="3"/>
  <c r="CX298" i="3"/>
  <c r="CX302" i="3"/>
  <c r="CX299" i="3"/>
  <c r="CX303" i="3"/>
  <c r="CX294" i="3"/>
  <c r="CX278" i="3"/>
  <c r="CX282" i="3"/>
  <c r="CX277" i="3"/>
  <c r="CX281" i="3"/>
  <c r="CX276" i="3"/>
  <c r="CX280" i="3"/>
  <c r="CX275" i="3"/>
  <c r="CX279" i="3"/>
  <c r="CX283" i="3"/>
  <c r="CX262" i="3"/>
  <c r="CX266" i="3"/>
  <c r="CX261" i="3"/>
  <c r="CX265" i="3"/>
  <c r="CX264" i="3"/>
  <c r="CX263" i="3"/>
  <c r="CX267" i="3"/>
  <c r="CX246" i="3"/>
  <c r="CX249" i="3"/>
  <c r="CX248" i="3"/>
  <c r="CX247" i="3"/>
  <c r="CX226" i="3"/>
  <c r="CX230" i="3"/>
  <c r="CX229" i="3"/>
  <c r="CX233" i="3"/>
  <c r="CX228" i="3"/>
  <c r="CX232" i="3"/>
  <c r="CX227" i="3"/>
  <c r="CX231" i="3"/>
  <c r="CX222" i="3"/>
  <c r="CX221" i="3"/>
  <c r="CX225" i="3"/>
  <c r="CX220" i="3"/>
  <c r="CX224" i="3"/>
  <c r="CX219" i="3"/>
  <c r="CX223" i="3"/>
  <c r="AD141" i="1"/>
  <c r="CR141" i="1" s="1"/>
  <c r="Q141" i="1" s="1"/>
  <c r="AB140" i="1"/>
  <c r="AD139" i="1"/>
  <c r="CR139" i="1" s="1"/>
  <c r="Q139" i="1" s="1"/>
  <c r="AD137" i="1"/>
  <c r="CR137" i="1" s="1"/>
  <c r="Q137" i="1" s="1"/>
  <c r="AB136" i="1"/>
  <c r="CX202" i="3"/>
  <c r="CX206" i="3"/>
  <c r="CX210" i="3"/>
  <c r="CX214" i="3"/>
  <c r="CX218" i="3"/>
  <c r="CX201" i="3"/>
  <c r="CX205" i="3"/>
  <c r="CX209" i="3"/>
  <c r="CX213" i="3"/>
  <c r="CX217" i="3"/>
  <c r="CX200" i="3"/>
  <c r="CX204" i="3"/>
  <c r="CX208" i="3"/>
  <c r="CX212" i="3"/>
  <c r="CX216" i="3"/>
  <c r="CX203" i="3"/>
  <c r="CX207" i="3"/>
  <c r="CX211" i="3"/>
  <c r="CX215" i="3"/>
  <c r="AB135" i="1"/>
  <c r="AD134" i="1"/>
  <c r="CR134" i="1" s="1"/>
  <c r="Q134" i="1" s="1"/>
  <c r="I133" i="1"/>
  <c r="S133" i="1" s="1"/>
  <c r="AD132" i="1"/>
  <c r="CR132" i="1" s="1"/>
  <c r="Q132" i="1" s="1"/>
  <c r="AB131" i="1"/>
  <c r="I131" i="1"/>
  <c r="GX131" i="1" s="1"/>
  <c r="T125" i="1"/>
  <c r="CR124" i="1"/>
  <c r="AB124" i="1"/>
  <c r="CP123" i="1"/>
  <c r="O123" i="1" s="1"/>
  <c r="T121" i="1"/>
  <c r="CR120" i="1"/>
  <c r="AB120" i="1"/>
  <c r="W119" i="1"/>
  <c r="S119" i="1"/>
  <c r="AB119" i="1"/>
  <c r="CX286" i="3"/>
  <c r="CX290" i="3"/>
  <c r="CX285" i="3"/>
  <c r="CX289" i="3"/>
  <c r="CX284" i="3"/>
  <c r="CX288" i="3"/>
  <c r="CX292" i="3"/>
  <c r="CX287" i="3"/>
  <c r="CX291" i="3"/>
  <c r="CX270" i="3"/>
  <c r="CX274" i="3"/>
  <c r="CX269" i="3"/>
  <c r="CX273" i="3"/>
  <c r="CX268" i="3"/>
  <c r="CX272" i="3"/>
  <c r="CX271" i="3"/>
  <c r="CX250" i="3"/>
  <c r="CX254" i="3"/>
  <c r="CX258" i="3"/>
  <c r="CX253" i="3"/>
  <c r="CX257" i="3"/>
  <c r="CX252" i="3"/>
  <c r="CX256" i="3"/>
  <c r="CX260" i="3"/>
  <c r="CX251" i="3"/>
  <c r="CX255" i="3"/>
  <c r="CX259" i="3"/>
  <c r="BB152" i="1"/>
  <c r="CP125" i="1"/>
  <c r="O125" i="1" s="1"/>
  <c r="CR122" i="1"/>
  <c r="AB122" i="1"/>
  <c r="CP121" i="1"/>
  <c r="O121" i="1" s="1"/>
  <c r="U119" i="1"/>
  <c r="Q119" i="1"/>
  <c r="CP119" i="1" s="1"/>
  <c r="O119" i="1" s="1"/>
  <c r="CP117" i="1"/>
  <c r="O117" i="1" s="1"/>
  <c r="CP116" i="1"/>
  <c r="O116" i="1" s="1"/>
  <c r="CP114" i="1"/>
  <c r="O114" i="1" s="1"/>
  <c r="CP112" i="1"/>
  <c r="O112" i="1" s="1"/>
  <c r="CP111" i="1"/>
  <c r="O111" i="1" s="1"/>
  <c r="CP110" i="1"/>
  <c r="O110" i="1" s="1"/>
  <c r="AO152" i="1"/>
  <c r="CX190" i="3"/>
  <c r="CX194" i="3"/>
  <c r="CX198" i="3"/>
  <c r="CX189" i="3"/>
  <c r="CX193" i="3"/>
  <c r="CX197" i="3"/>
  <c r="CX188" i="3"/>
  <c r="CX192" i="3"/>
  <c r="CX196" i="3"/>
  <c r="CX191" i="3"/>
  <c r="CX195" i="3"/>
  <c r="CX199" i="3"/>
  <c r="W129" i="1"/>
  <c r="S129" i="1"/>
  <c r="W128" i="1"/>
  <c r="S128" i="1"/>
  <c r="W127" i="1"/>
  <c r="S127" i="1"/>
  <c r="W126" i="1"/>
  <c r="S126" i="1"/>
  <c r="CZ125" i="1"/>
  <c r="Y125" i="1" s="1"/>
  <c r="AB125" i="1"/>
  <c r="CY121" i="1"/>
  <c r="X121" i="1" s="1"/>
  <c r="CZ121" i="1"/>
  <c r="Y121" i="1" s="1"/>
  <c r="AB121" i="1"/>
  <c r="CY117" i="1"/>
  <c r="X117" i="1" s="1"/>
  <c r="CZ117" i="1"/>
  <c r="Y117" i="1" s="1"/>
  <c r="CY116" i="1"/>
  <c r="X116" i="1" s="1"/>
  <c r="CZ116" i="1"/>
  <c r="Y116" i="1" s="1"/>
  <c r="CY114" i="1"/>
  <c r="X114" i="1" s="1"/>
  <c r="CZ114" i="1"/>
  <c r="Y114" i="1" s="1"/>
  <c r="CY112" i="1"/>
  <c r="X112" i="1" s="1"/>
  <c r="CZ112" i="1"/>
  <c r="Y112" i="1" s="1"/>
  <c r="CY111" i="1"/>
  <c r="X111" i="1" s="1"/>
  <c r="CZ111" i="1"/>
  <c r="Y111" i="1" s="1"/>
  <c r="CZ110" i="1"/>
  <c r="Y110" i="1" s="1"/>
  <c r="CY110" i="1"/>
  <c r="X110" i="1" s="1"/>
  <c r="AB117" i="1"/>
  <c r="CX171" i="3"/>
  <c r="CX175" i="3"/>
  <c r="CX170" i="3"/>
  <c r="CX174" i="3"/>
  <c r="CX178" i="3"/>
  <c r="CX172" i="3"/>
  <c r="CX176" i="3"/>
  <c r="CX182" i="3"/>
  <c r="CX186" i="3"/>
  <c r="CX181" i="3"/>
  <c r="CX185" i="3"/>
  <c r="CX180" i="3"/>
  <c r="CX184" i="3"/>
  <c r="CX173" i="3"/>
  <c r="CX177" i="3"/>
  <c r="CX179" i="3"/>
  <c r="CX183" i="3"/>
  <c r="CX187" i="3"/>
  <c r="AB116" i="1"/>
  <c r="AB114" i="1"/>
  <c r="AB112" i="1"/>
  <c r="CX163" i="3"/>
  <c r="CX167" i="3"/>
  <c r="CX162" i="3"/>
  <c r="CX166" i="3"/>
  <c r="CX164" i="3"/>
  <c r="CX168" i="3"/>
  <c r="CX165" i="3"/>
  <c r="CX169" i="3"/>
  <c r="AB111" i="1"/>
  <c r="AB107" i="1"/>
  <c r="CR107" i="1"/>
  <c r="Q107" i="1" s="1"/>
  <c r="CP107" i="1"/>
  <c r="O107" i="1" s="1"/>
  <c r="AB106" i="1"/>
  <c r="CR106" i="1"/>
  <c r="Q106" i="1" s="1"/>
  <c r="CP106" i="1" s="1"/>
  <c r="O106" i="1" s="1"/>
  <c r="CY104" i="1"/>
  <c r="X104" i="1" s="1"/>
  <c r="CZ104" i="1"/>
  <c r="Y104" i="1" s="1"/>
  <c r="CY98" i="1"/>
  <c r="X98" i="1" s="1"/>
  <c r="CZ98" i="1"/>
  <c r="Y98" i="1" s="1"/>
  <c r="CY97" i="1"/>
  <c r="X97" i="1" s="1"/>
  <c r="CZ97" i="1"/>
  <c r="Y97" i="1" s="1"/>
  <c r="CY95" i="1"/>
  <c r="X95" i="1" s="1"/>
  <c r="CZ95" i="1"/>
  <c r="Y95" i="1" s="1"/>
  <c r="CY91" i="1"/>
  <c r="X91" i="1" s="1"/>
  <c r="CZ91" i="1"/>
  <c r="Y91" i="1" s="1"/>
  <c r="CP91" i="1"/>
  <c r="O91" i="1" s="1"/>
  <c r="CY88" i="1"/>
  <c r="X88" i="1" s="1"/>
  <c r="CZ88" i="1"/>
  <c r="Y88" i="1" s="1"/>
  <c r="CY86" i="1"/>
  <c r="X86" i="1" s="1"/>
  <c r="CZ86" i="1"/>
  <c r="Y86" i="1" s="1"/>
  <c r="CY79" i="1"/>
  <c r="X79" i="1" s="1"/>
  <c r="CZ79" i="1"/>
  <c r="Y79" i="1" s="1"/>
  <c r="CP101" i="1"/>
  <c r="O101" i="1" s="1"/>
  <c r="CY94" i="1"/>
  <c r="X94" i="1" s="1"/>
  <c r="CY83" i="1"/>
  <c r="X83" i="1" s="1"/>
  <c r="CZ83" i="1"/>
  <c r="Y83" i="1" s="1"/>
  <c r="CY81" i="1"/>
  <c r="X81" i="1" s="1"/>
  <c r="CZ81" i="1"/>
  <c r="Y81" i="1" s="1"/>
  <c r="I124" i="1"/>
  <c r="GX124" i="1" s="1"/>
  <c r="I122" i="1"/>
  <c r="GX122" i="1" s="1"/>
  <c r="I120" i="1"/>
  <c r="GX120" i="1" s="1"/>
  <c r="I118" i="1"/>
  <c r="AB115" i="1"/>
  <c r="I115" i="1"/>
  <c r="GX115" i="1" s="1"/>
  <c r="AB113" i="1"/>
  <c r="I113" i="1"/>
  <c r="GX113" i="1" s="1"/>
  <c r="AB110" i="1"/>
  <c r="CZ107" i="1"/>
  <c r="Y107" i="1" s="1"/>
  <c r="CZ106" i="1"/>
  <c r="Y106" i="1" s="1"/>
  <c r="CY102" i="1"/>
  <c r="X102" i="1" s="1"/>
  <c r="CZ102" i="1"/>
  <c r="Y102" i="1" s="1"/>
  <c r="CY101" i="1"/>
  <c r="X101" i="1" s="1"/>
  <c r="CZ101" i="1"/>
  <c r="Y101" i="1" s="1"/>
  <c r="CY100" i="1"/>
  <c r="X100" i="1" s="1"/>
  <c r="CZ100" i="1"/>
  <c r="Y100" i="1" s="1"/>
  <c r="CY89" i="1"/>
  <c r="X89" i="1" s="1"/>
  <c r="CZ89" i="1"/>
  <c r="Y89" i="1" s="1"/>
  <c r="CY87" i="1"/>
  <c r="X87" i="1" s="1"/>
  <c r="CZ87" i="1"/>
  <c r="Y87" i="1" s="1"/>
  <c r="W109" i="1"/>
  <c r="S109" i="1"/>
  <c r="CP109" i="1" s="1"/>
  <c r="O109" i="1" s="1"/>
  <c r="AB109" i="1"/>
  <c r="W108" i="1"/>
  <c r="S108" i="1"/>
  <c r="AB108" i="1"/>
  <c r="CP103" i="1"/>
  <c r="O103" i="1" s="1"/>
  <c r="CP98" i="1"/>
  <c r="O98" i="1" s="1"/>
  <c r="CP97" i="1"/>
  <c r="O97" i="1" s="1"/>
  <c r="CP95" i="1"/>
  <c r="O95" i="1" s="1"/>
  <c r="CY84" i="1"/>
  <c r="X84" i="1" s="1"/>
  <c r="CZ84" i="1"/>
  <c r="Y84" i="1" s="1"/>
  <c r="CT105" i="1"/>
  <c r="S105" i="1" s="1"/>
  <c r="CR104" i="1"/>
  <c r="Q104" i="1" s="1"/>
  <c r="CP104" i="1" s="1"/>
  <c r="O104" i="1" s="1"/>
  <c r="CT103" i="1"/>
  <c r="S103" i="1" s="1"/>
  <c r="CR102" i="1"/>
  <c r="Q102" i="1" s="1"/>
  <c r="CP102" i="1" s="1"/>
  <c r="O102" i="1" s="1"/>
  <c r="CR101" i="1"/>
  <c r="Q101" i="1" s="1"/>
  <c r="CR100" i="1"/>
  <c r="Q100" i="1" s="1"/>
  <c r="CP100" i="1" s="1"/>
  <c r="O100" i="1" s="1"/>
  <c r="CT99" i="1"/>
  <c r="S99" i="1" s="1"/>
  <c r="CR98" i="1"/>
  <c r="Q98" i="1" s="1"/>
  <c r="CR97" i="1"/>
  <c r="Q97" i="1" s="1"/>
  <c r="CT96" i="1"/>
  <c r="S96" i="1" s="1"/>
  <c r="CR95" i="1"/>
  <c r="Q95" i="1" s="1"/>
  <c r="T94" i="1"/>
  <c r="CX103" i="3"/>
  <c r="CX107" i="3"/>
  <c r="CX111" i="3"/>
  <c r="CX102" i="3"/>
  <c r="CX106" i="3"/>
  <c r="CX110" i="3"/>
  <c r="CX101" i="3"/>
  <c r="CX105" i="3"/>
  <c r="CX109" i="3"/>
  <c r="CX100" i="3"/>
  <c r="CX104" i="3"/>
  <c r="CX108" i="3"/>
  <c r="CX112" i="3"/>
  <c r="AD90" i="1"/>
  <c r="CS90" i="1"/>
  <c r="R90" i="1" s="1"/>
  <c r="AB89" i="1"/>
  <c r="CQ89" i="1"/>
  <c r="P89" i="1" s="1"/>
  <c r="CP89" i="1" s="1"/>
  <c r="O89" i="1" s="1"/>
  <c r="AB87" i="1"/>
  <c r="CQ87" i="1"/>
  <c r="P87" i="1" s="1"/>
  <c r="CP87" i="1" s="1"/>
  <c r="O87" i="1" s="1"/>
  <c r="AD44" i="1"/>
  <c r="CS44" i="1"/>
  <c r="R44" i="1" s="1"/>
  <c r="CX59" i="3"/>
  <c r="CX63" i="3"/>
  <c r="CX58" i="3"/>
  <c r="CX62" i="3"/>
  <c r="CX61" i="3"/>
  <c r="CX60" i="3"/>
  <c r="P43" i="1"/>
  <c r="CY42" i="1"/>
  <c r="X42" i="1" s="1"/>
  <c r="GN42" i="1" s="1"/>
  <c r="CZ94" i="1"/>
  <c r="Y94" i="1" s="1"/>
  <c r="CY92" i="1"/>
  <c r="X92" i="1" s="1"/>
  <c r="GM92" i="1" s="1"/>
  <c r="CZ92" i="1"/>
  <c r="Y92" i="1" s="1"/>
  <c r="AB91" i="1"/>
  <c r="AB83" i="1"/>
  <c r="CQ83" i="1"/>
  <c r="P83" i="1" s="1"/>
  <c r="CP83" i="1" s="1"/>
  <c r="O83" i="1" s="1"/>
  <c r="CI26" i="1"/>
  <c r="AZ46" i="1"/>
  <c r="CR43" i="1"/>
  <c r="Q43" i="1" s="1"/>
  <c r="AB43" i="1"/>
  <c r="BZ26" i="1"/>
  <c r="CG46" i="1"/>
  <c r="GK39" i="1"/>
  <c r="CY39" i="1"/>
  <c r="X39" i="1" s="1"/>
  <c r="GM39" i="1" s="1"/>
  <c r="CR37" i="1"/>
  <c r="Q37" i="1" s="1"/>
  <c r="AB37" i="1"/>
  <c r="U94" i="1"/>
  <c r="Q94" i="1"/>
  <c r="CP94" i="1" s="1"/>
  <c r="O94" i="1" s="1"/>
  <c r="W93" i="1"/>
  <c r="S93" i="1"/>
  <c r="CP93" i="1" s="1"/>
  <c r="O93" i="1" s="1"/>
  <c r="AB92" i="1"/>
  <c r="AB88" i="1"/>
  <c r="CQ88" i="1"/>
  <c r="P88" i="1" s="1"/>
  <c r="CP88" i="1" s="1"/>
  <c r="O88" i="1" s="1"/>
  <c r="AB86" i="1"/>
  <c r="CQ86" i="1"/>
  <c r="P86" i="1" s="1"/>
  <c r="CP86" i="1" s="1"/>
  <c r="O86" i="1" s="1"/>
  <c r="CY85" i="1"/>
  <c r="X85" i="1" s="1"/>
  <c r="AD82" i="1"/>
  <c r="CS82" i="1"/>
  <c r="R82" i="1" s="1"/>
  <c r="GK82" i="1" s="1"/>
  <c r="CY80" i="1"/>
  <c r="X80" i="1" s="1"/>
  <c r="AD80" i="1"/>
  <c r="CS80" i="1"/>
  <c r="R80" i="1" s="1"/>
  <c r="AB79" i="1"/>
  <c r="CQ79" i="1"/>
  <c r="P79" i="1" s="1"/>
  <c r="AU26" i="1"/>
  <c r="F65" i="1"/>
  <c r="CZ36" i="1"/>
  <c r="Y36" i="1" s="1"/>
  <c r="CY36" i="1"/>
  <c r="X36" i="1" s="1"/>
  <c r="CX151" i="3"/>
  <c r="CX155" i="3"/>
  <c r="CX159" i="3"/>
  <c r="CX150" i="3"/>
  <c r="CX154" i="3"/>
  <c r="CX158" i="3"/>
  <c r="CX152" i="3"/>
  <c r="CX156" i="3"/>
  <c r="CX160" i="3"/>
  <c r="CX149" i="3"/>
  <c r="CX153" i="3"/>
  <c r="CX157" i="3"/>
  <c r="CX161" i="3"/>
  <c r="CX143" i="3"/>
  <c r="CX147" i="3"/>
  <c r="CX142" i="3"/>
  <c r="CX146" i="3"/>
  <c r="CX140" i="3"/>
  <c r="CX144" i="3"/>
  <c r="CX141" i="3"/>
  <c r="CX148" i="3"/>
  <c r="CX145" i="3"/>
  <c r="CX135" i="3"/>
  <c r="CX139" i="3"/>
  <c r="CX134" i="3"/>
  <c r="CX138" i="3"/>
  <c r="CX133" i="3"/>
  <c r="CX137" i="3"/>
  <c r="CX136" i="3"/>
  <c r="CX127" i="3"/>
  <c r="CX131" i="3"/>
  <c r="CX126" i="3"/>
  <c r="CX130" i="3"/>
  <c r="CX129" i="3"/>
  <c r="CX128" i="3"/>
  <c r="CX132" i="3"/>
  <c r="CX115" i="3"/>
  <c r="CX119" i="3"/>
  <c r="CX123" i="3"/>
  <c r="CX114" i="3"/>
  <c r="CX118" i="3"/>
  <c r="CX122" i="3"/>
  <c r="CX113" i="3"/>
  <c r="CX117" i="3"/>
  <c r="CX121" i="3"/>
  <c r="CX125" i="3"/>
  <c r="CX116" i="3"/>
  <c r="CX120" i="3"/>
  <c r="CX124" i="3"/>
  <c r="CY90" i="1"/>
  <c r="X90" i="1" s="1"/>
  <c r="AD85" i="1"/>
  <c r="CS85" i="1"/>
  <c r="R85" i="1" s="1"/>
  <c r="AB84" i="1"/>
  <c r="CQ84" i="1"/>
  <c r="P84" i="1" s="1"/>
  <c r="CP84" i="1" s="1"/>
  <c r="O84" i="1" s="1"/>
  <c r="AB81" i="1"/>
  <c r="CQ81" i="1"/>
  <c r="P81" i="1" s="1"/>
  <c r="CP81" i="1" s="1"/>
  <c r="O81" i="1" s="1"/>
  <c r="BC26" i="1"/>
  <c r="F62" i="1"/>
  <c r="CY44" i="1"/>
  <c r="X44" i="1" s="1"/>
  <c r="V43" i="1"/>
  <c r="CP40" i="1"/>
  <c r="O40" i="1" s="1"/>
  <c r="CZ38" i="1"/>
  <c r="Y38" i="1" s="1"/>
  <c r="CY38" i="1"/>
  <c r="X38" i="1" s="1"/>
  <c r="CP37" i="1"/>
  <c r="O37" i="1" s="1"/>
  <c r="AO46" i="1"/>
  <c r="W43" i="1"/>
  <c r="S43" i="1"/>
  <c r="CR38" i="1"/>
  <c r="Q38" i="1" s="1"/>
  <c r="CP38" i="1" s="1"/>
  <c r="O38" i="1" s="1"/>
  <c r="AB38" i="1"/>
  <c r="CZ37" i="1"/>
  <c r="Y37" i="1" s="1"/>
  <c r="CR36" i="1"/>
  <c r="Q36" i="1" s="1"/>
  <c r="CP36" i="1" s="1"/>
  <c r="O36" i="1" s="1"/>
  <c r="AB36" i="1"/>
  <c r="CX19" i="3"/>
  <c r="CX23" i="3"/>
  <c r="CX22" i="3"/>
  <c r="CX21" i="3"/>
  <c r="CX20" i="3"/>
  <c r="CX24" i="3"/>
  <c r="R33" i="1"/>
  <c r="CX66" i="3"/>
  <c r="CX65" i="3"/>
  <c r="CX64" i="3"/>
  <c r="CZ42" i="1"/>
  <c r="Y42" i="1" s="1"/>
  <c r="GM42" i="1" s="1"/>
  <c r="AB42" i="1"/>
  <c r="CX51" i="3"/>
  <c r="CX54" i="3"/>
  <c r="CX53" i="3"/>
  <c r="CX52" i="3"/>
  <c r="CZ39" i="1"/>
  <c r="Y39" i="1" s="1"/>
  <c r="GN39" i="1" s="1"/>
  <c r="AB39" i="1"/>
  <c r="CS35" i="1"/>
  <c r="R35" i="1" s="1"/>
  <c r="GK35" i="1" s="1"/>
  <c r="AD35" i="1"/>
  <c r="CR35" i="1" s="1"/>
  <c r="Q35" i="1" s="1"/>
  <c r="CZ34" i="1"/>
  <c r="Y34" i="1" s="1"/>
  <c r="CY34" i="1"/>
  <c r="X34" i="1" s="1"/>
  <c r="GM34" i="1" s="1"/>
  <c r="CR33" i="1"/>
  <c r="Q33" i="1" s="1"/>
  <c r="AB33" i="1"/>
  <c r="CX95" i="3"/>
  <c r="CX99" i="3"/>
  <c r="CX94" i="3"/>
  <c r="CX98" i="3"/>
  <c r="CX93" i="3"/>
  <c r="CX97" i="3"/>
  <c r="CX96" i="3"/>
  <c r="CX91" i="3"/>
  <c r="CX90" i="3"/>
  <c r="CX92" i="3"/>
  <c r="CX87" i="3"/>
  <c r="CX86" i="3"/>
  <c r="CX85" i="3"/>
  <c r="CX89" i="3"/>
  <c r="CX88" i="3"/>
  <c r="CX79" i="3"/>
  <c r="CX83" i="3"/>
  <c r="CX82" i="3"/>
  <c r="CX81" i="3"/>
  <c r="CX80" i="3"/>
  <c r="CX84" i="3"/>
  <c r="CX67" i="3"/>
  <c r="CX71" i="3"/>
  <c r="CX75" i="3"/>
  <c r="CX70" i="3"/>
  <c r="CX74" i="3"/>
  <c r="CX78" i="3"/>
  <c r="CX69" i="3"/>
  <c r="CX73" i="3"/>
  <c r="CX77" i="3"/>
  <c r="CX68" i="3"/>
  <c r="CX72" i="3"/>
  <c r="CX76" i="3"/>
  <c r="CX55" i="3"/>
  <c r="CX57" i="3"/>
  <c r="CX56" i="3"/>
  <c r="W41" i="1"/>
  <c r="S41" i="1"/>
  <c r="AB41" i="1"/>
  <c r="S40" i="1"/>
  <c r="AB40" i="1"/>
  <c r="CX47" i="3"/>
  <c r="CX46" i="3"/>
  <c r="CX50" i="3"/>
  <c r="CX49" i="3"/>
  <c r="CX48" i="3"/>
  <c r="CY37" i="1"/>
  <c r="X37" i="1" s="1"/>
  <c r="V33" i="1"/>
  <c r="AI46" i="1" s="1"/>
  <c r="CX43" i="3"/>
  <c r="CX42" i="3"/>
  <c r="CX41" i="3"/>
  <c r="CX40" i="3"/>
  <c r="CX44" i="3"/>
  <c r="AB35" i="1"/>
  <c r="T33" i="1"/>
  <c r="CY32" i="1"/>
  <c r="X32" i="1" s="1"/>
  <c r="CZ32" i="1"/>
  <c r="Y32" i="1" s="1"/>
  <c r="GX31" i="1"/>
  <c r="CJ46" i="1" s="1"/>
  <c r="U31" i="1"/>
  <c r="W31" i="1"/>
  <c r="S31" i="1"/>
  <c r="AB30" i="1"/>
  <c r="CX6" i="3"/>
  <c r="CX5" i="3"/>
  <c r="CX4" i="3"/>
  <c r="AB34" i="1"/>
  <c r="U33" i="1"/>
  <c r="T31" i="1"/>
  <c r="Q31" i="1"/>
  <c r="U30" i="1"/>
  <c r="AH46" i="1" s="1"/>
  <c r="W30" i="1"/>
  <c r="S30" i="1"/>
  <c r="CP30" i="1" s="1"/>
  <c r="O30" i="1" s="1"/>
  <c r="P29" i="1"/>
  <c r="AB29" i="1"/>
  <c r="CX3" i="3"/>
  <c r="CX2" i="3"/>
  <c r="CX1" i="3"/>
  <c r="AB32" i="1"/>
  <c r="CQ32" i="1"/>
  <c r="P32" i="1" s="1"/>
  <c r="CP32" i="1" s="1"/>
  <c r="O32" i="1" s="1"/>
  <c r="CX10" i="3"/>
  <c r="CX9" i="3"/>
  <c r="CX8" i="3"/>
  <c r="CZ29" i="1"/>
  <c r="Y29" i="1" s="1"/>
  <c r="CY29" i="1"/>
  <c r="X29" i="1" s="1"/>
  <c r="CQ35" i="1"/>
  <c r="P35" i="1" s="1"/>
  <c r="CP35" i="1" s="1"/>
  <c r="O35" i="1" s="1"/>
  <c r="P33" i="1"/>
  <c r="CP33" i="1" s="1"/>
  <c r="O33" i="1" s="1"/>
  <c r="P31" i="1"/>
  <c r="CP31" i="1" s="1"/>
  <c r="O31" i="1" s="1"/>
  <c r="AB31" i="1"/>
  <c r="T29" i="1"/>
  <c r="AG46" i="1" s="1"/>
  <c r="Q29" i="1"/>
  <c r="CZ28" i="1"/>
  <c r="Y28" i="1" s="1"/>
  <c r="CY28" i="1"/>
  <c r="X28" i="1" s="1"/>
  <c r="GN28" i="1" s="1"/>
  <c r="CX39" i="3"/>
  <c r="CX38" i="3"/>
  <c r="CX37" i="3"/>
  <c r="G544" i="5" l="1"/>
  <c r="J625" i="5"/>
  <c r="G17" i="5"/>
  <c r="G390" i="5"/>
  <c r="J390" i="5"/>
  <c r="G15" i="5"/>
  <c r="G625" i="5"/>
  <c r="AI26" i="1"/>
  <c r="V46" i="1"/>
  <c r="GN106" i="1"/>
  <c r="GM106" i="1"/>
  <c r="GN126" i="1"/>
  <c r="CJ183" i="1"/>
  <c r="BA215" i="1"/>
  <c r="GN94" i="1"/>
  <c r="GM94" i="1"/>
  <c r="AF183" i="1"/>
  <c r="S215" i="1"/>
  <c r="AH183" i="1"/>
  <c r="U215" i="1"/>
  <c r="GM38" i="1"/>
  <c r="GN38" i="1"/>
  <c r="GN100" i="1"/>
  <c r="GM100" i="1"/>
  <c r="GN104" i="1"/>
  <c r="GM104" i="1"/>
  <c r="GM36" i="1"/>
  <c r="GN36" i="1"/>
  <c r="CZ133" i="1"/>
  <c r="Y133" i="1" s="1"/>
  <c r="AG183" i="1"/>
  <c r="T215" i="1"/>
  <c r="AD246" i="1"/>
  <c r="Q252" i="1"/>
  <c r="AI283" i="1"/>
  <c r="V300" i="1"/>
  <c r="GM250" i="1"/>
  <c r="GP250" i="1"/>
  <c r="GO209" i="1"/>
  <c r="GM209" i="1"/>
  <c r="GN102" i="1"/>
  <c r="GM102" i="1"/>
  <c r="GM28" i="1"/>
  <c r="CP29" i="1"/>
  <c r="O29" i="1" s="1"/>
  <c r="AC46" i="1"/>
  <c r="CJ26" i="1"/>
  <c r="BA46" i="1"/>
  <c r="CZ41" i="1"/>
  <c r="Y41" i="1" s="1"/>
  <c r="CY41" i="1"/>
  <c r="X41" i="1" s="1"/>
  <c r="AO26" i="1"/>
  <c r="F50" i="1"/>
  <c r="AO329" i="1"/>
  <c r="GN84" i="1"/>
  <c r="GM84" i="1"/>
  <c r="CP79" i="1"/>
  <c r="O79" i="1" s="1"/>
  <c r="GN86" i="1"/>
  <c r="GM86" i="1"/>
  <c r="GK44" i="1"/>
  <c r="CZ44" i="1"/>
  <c r="Y44" i="1" s="1"/>
  <c r="GN87" i="1"/>
  <c r="GM87" i="1"/>
  <c r="GK90" i="1"/>
  <c r="CZ90" i="1"/>
  <c r="Y90" i="1" s="1"/>
  <c r="CY99" i="1"/>
  <c r="X99" i="1" s="1"/>
  <c r="CZ99" i="1"/>
  <c r="Y99" i="1" s="1"/>
  <c r="CY103" i="1"/>
  <c r="X103" i="1" s="1"/>
  <c r="CZ103" i="1"/>
  <c r="Y103" i="1" s="1"/>
  <c r="GN98" i="1"/>
  <c r="GM98" i="1"/>
  <c r="CZ108" i="1"/>
  <c r="Y108" i="1" s="1"/>
  <c r="CY108" i="1"/>
  <c r="X108" i="1" s="1"/>
  <c r="GX118" i="1"/>
  <c r="CJ152" i="1" s="1"/>
  <c r="P118" i="1"/>
  <c r="GN101" i="1"/>
  <c r="GM101" i="1"/>
  <c r="CP108" i="1"/>
  <c r="O108" i="1" s="1"/>
  <c r="W118" i="1"/>
  <c r="CZ126" i="1"/>
  <c r="Y126" i="1" s="1"/>
  <c r="CY126" i="1"/>
  <c r="X126" i="1" s="1"/>
  <c r="GM126" i="1" s="1"/>
  <c r="CZ128" i="1"/>
  <c r="Y128" i="1" s="1"/>
  <c r="GN128" i="1" s="1"/>
  <c r="CY128" i="1"/>
  <c r="X128" i="1" s="1"/>
  <c r="GM128" i="1" s="1"/>
  <c r="AO77" i="1"/>
  <c r="F156" i="1"/>
  <c r="S113" i="1"/>
  <c r="S115" i="1"/>
  <c r="GM117" i="1"/>
  <c r="GN117" i="1"/>
  <c r="W120" i="1"/>
  <c r="Q122" i="1"/>
  <c r="W124" i="1"/>
  <c r="U113" i="1"/>
  <c r="R115" i="1"/>
  <c r="GK115" i="1" s="1"/>
  <c r="GM123" i="1"/>
  <c r="GN123" i="1"/>
  <c r="R124" i="1"/>
  <c r="GK124" i="1" s="1"/>
  <c r="R118" i="1"/>
  <c r="GK118" i="1" s="1"/>
  <c r="R133" i="1"/>
  <c r="GK133" i="1" s="1"/>
  <c r="GK135" i="1"/>
  <c r="CZ135" i="1"/>
  <c r="Y135" i="1" s="1"/>
  <c r="GK138" i="1"/>
  <c r="CZ138" i="1"/>
  <c r="Y138" i="1" s="1"/>
  <c r="GK142" i="1"/>
  <c r="CZ142" i="1"/>
  <c r="Y142" i="1" s="1"/>
  <c r="AB144" i="1"/>
  <c r="CR144" i="1"/>
  <c r="Q144" i="1" s="1"/>
  <c r="CP144" i="1" s="1"/>
  <c r="O144" i="1" s="1"/>
  <c r="GK147" i="1"/>
  <c r="CZ147" i="1"/>
  <c r="Y147" i="1" s="1"/>
  <c r="GO185" i="1"/>
  <c r="GM185" i="1"/>
  <c r="GM196" i="1"/>
  <c r="GO196" i="1"/>
  <c r="GK202" i="1"/>
  <c r="CZ202" i="1"/>
  <c r="Y202" i="1" s="1"/>
  <c r="W133" i="1"/>
  <c r="AB137" i="1"/>
  <c r="AB141" i="1"/>
  <c r="GK194" i="1"/>
  <c r="CZ194" i="1"/>
  <c r="Y194" i="1" s="1"/>
  <c r="CG246" i="1"/>
  <c r="AX252" i="1"/>
  <c r="P120" i="1"/>
  <c r="R131" i="1"/>
  <c r="GK131" i="1" s="1"/>
  <c r="CP132" i="1"/>
  <c r="O132" i="1" s="1"/>
  <c r="GM130" i="1"/>
  <c r="GN130" i="1"/>
  <c r="AB142" i="1"/>
  <c r="GM146" i="1"/>
  <c r="GN146" i="1"/>
  <c r="GM205" i="1"/>
  <c r="GO205" i="1"/>
  <c r="CP213" i="1"/>
  <c r="O213" i="1" s="1"/>
  <c r="AL246" i="1"/>
  <c r="Y252" i="1"/>
  <c r="GM200" i="1"/>
  <c r="GO200" i="1"/>
  <c r="AQ246" i="1"/>
  <c r="F262" i="1"/>
  <c r="BB183" i="1"/>
  <c r="F228" i="1"/>
  <c r="AZ252" i="1"/>
  <c r="CI246" i="1"/>
  <c r="GM290" i="1"/>
  <c r="GN290" i="1"/>
  <c r="GM293" i="1"/>
  <c r="GN293" i="1"/>
  <c r="U131" i="1"/>
  <c r="CZ195" i="1"/>
  <c r="Y195" i="1" s="1"/>
  <c r="AP183" i="1"/>
  <c r="F224" i="1"/>
  <c r="CZ198" i="1"/>
  <c r="Y198" i="1" s="1"/>
  <c r="Q289" i="1"/>
  <c r="GM291" i="1"/>
  <c r="GN291" i="1"/>
  <c r="AQ283" i="1"/>
  <c r="F310" i="1"/>
  <c r="S286" i="1"/>
  <c r="GM297" i="1"/>
  <c r="F267" i="1"/>
  <c r="S246" i="1"/>
  <c r="GO298" i="1"/>
  <c r="CC300" i="1" s="1"/>
  <c r="CI283" i="1"/>
  <c r="AZ300" i="1"/>
  <c r="P292" i="1"/>
  <c r="CP292" i="1" s="1"/>
  <c r="O292" i="1" s="1"/>
  <c r="GK33" i="1"/>
  <c r="AE46" i="1"/>
  <c r="CZ33" i="1"/>
  <c r="Y33" i="1" s="1"/>
  <c r="CY33" i="1"/>
  <c r="X33" i="1" s="1"/>
  <c r="CG26" i="1"/>
  <c r="AX46" i="1"/>
  <c r="CY82" i="1"/>
  <c r="X82" i="1" s="1"/>
  <c r="CP43" i="1"/>
  <c r="O43" i="1" s="1"/>
  <c r="AB44" i="1"/>
  <c r="CR44" i="1"/>
  <c r="Q44" i="1" s="1"/>
  <c r="CP44" i="1" s="1"/>
  <c r="O44" i="1" s="1"/>
  <c r="AB90" i="1"/>
  <c r="CR90" i="1"/>
  <c r="Q90" i="1" s="1"/>
  <c r="CP90" i="1" s="1"/>
  <c r="O90" i="1" s="1"/>
  <c r="CY96" i="1"/>
  <c r="X96" i="1" s="1"/>
  <c r="CZ96" i="1"/>
  <c r="Y96" i="1" s="1"/>
  <c r="GN95" i="1"/>
  <c r="GM95" i="1"/>
  <c r="GM103" i="1"/>
  <c r="GN103" i="1"/>
  <c r="GN92" i="1"/>
  <c r="CZ82" i="1"/>
  <c r="Y82" i="1" s="1"/>
  <c r="GM107" i="1"/>
  <c r="GN107" i="1"/>
  <c r="V118" i="1"/>
  <c r="GM110" i="1"/>
  <c r="GN110" i="1"/>
  <c r="W113" i="1"/>
  <c r="W115" i="1"/>
  <c r="V120" i="1"/>
  <c r="U122" i="1"/>
  <c r="V124" i="1"/>
  <c r="R113" i="1"/>
  <c r="GK113" i="1" s="1"/>
  <c r="Q120" i="1"/>
  <c r="S122" i="1"/>
  <c r="T120" i="1"/>
  <c r="Q133" i="1"/>
  <c r="AB147" i="1"/>
  <c r="CR147" i="1"/>
  <c r="Q147" i="1" s="1"/>
  <c r="CP147" i="1" s="1"/>
  <c r="O147" i="1" s="1"/>
  <c r="GM192" i="1"/>
  <c r="GO192" i="1"/>
  <c r="AB202" i="1"/>
  <c r="CR202" i="1"/>
  <c r="Q202" i="1" s="1"/>
  <c r="CP202" i="1" s="1"/>
  <c r="O202" i="1" s="1"/>
  <c r="P131" i="1"/>
  <c r="CP134" i="1"/>
  <c r="O134" i="1" s="1"/>
  <c r="CP139" i="1"/>
  <c r="O139" i="1" s="1"/>
  <c r="CY147" i="1"/>
  <c r="X147" i="1" s="1"/>
  <c r="GK191" i="1"/>
  <c r="CZ191" i="1"/>
  <c r="Y191" i="1" s="1"/>
  <c r="AB194" i="1"/>
  <c r="CR194" i="1"/>
  <c r="Q194" i="1" s="1"/>
  <c r="CP194" i="1" s="1"/>
  <c r="O194" i="1" s="1"/>
  <c r="AB215" i="1" s="1"/>
  <c r="AB198" i="1"/>
  <c r="CR198" i="1"/>
  <c r="Q198" i="1" s="1"/>
  <c r="CP198" i="1" s="1"/>
  <c r="O198" i="1" s="1"/>
  <c r="CY202" i="1"/>
  <c r="X202" i="1" s="1"/>
  <c r="CD77" i="1"/>
  <c r="AU152" i="1"/>
  <c r="Q131" i="1"/>
  <c r="AB132" i="1"/>
  <c r="W131" i="1"/>
  <c r="CY138" i="1"/>
  <c r="X138" i="1" s="1"/>
  <c r="GN138" i="1" s="1"/>
  <c r="GM143" i="1"/>
  <c r="GN143" i="1"/>
  <c r="AB187" i="1"/>
  <c r="GM193" i="1"/>
  <c r="GO193" i="1"/>
  <c r="AB195" i="1"/>
  <c r="CR195" i="1"/>
  <c r="Q195" i="1" s="1"/>
  <c r="CP195" i="1" s="1"/>
  <c r="O195" i="1" s="1"/>
  <c r="AB213" i="1"/>
  <c r="X252" i="1"/>
  <c r="AK246" i="1"/>
  <c r="GX286" i="1"/>
  <c r="P286" i="1"/>
  <c r="GM285" i="1"/>
  <c r="GN285" i="1"/>
  <c r="CZ292" i="1"/>
  <c r="Y292" i="1" s="1"/>
  <c r="CY292" i="1"/>
  <c r="X292" i="1" s="1"/>
  <c r="U133" i="1"/>
  <c r="CI183" i="1"/>
  <c r="AZ215" i="1"/>
  <c r="CY198" i="1"/>
  <c r="X198" i="1" s="1"/>
  <c r="GX294" i="1"/>
  <c r="P294" i="1"/>
  <c r="CP294" i="1" s="1"/>
  <c r="O294" i="1" s="1"/>
  <c r="AU283" i="1"/>
  <c r="F319" i="1"/>
  <c r="Q286" i="1"/>
  <c r="R294" i="1"/>
  <c r="GK294" i="1" s="1"/>
  <c r="AH246" i="1"/>
  <c r="U252" i="1"/>
  <c r="V246" i="1"/>
  <c r="F275" i="1"/>
  <c r="P289" i="1"/>
  <c r="CP289" i="1" s="1"/>
  <c r="O289" i="1" s="1"/>
  <c r="CZ207" i="1"/>
  <c r="Y207" i="1" s="1"/>
  <c r="GO207" i="1" s="1"/>
  <c r="CZ30" i="1"/>
  <c r="Y30" i="1" s="1"/>
  <c r="AL46" i="1" s="1"/>
  <c r="CY30" i="1"/>
  <c r="X30" i="1" s="1"/>
  <c r="GM30" i="1" s="1"/>
  <c r="AF46" i="1"/>
  <c r="CZ31" i="1"/>
  <c r="Y31" i="1" s="1"/>
  <c r="CY31" i="1"/>
  <c r="X31" i="1" s="1"/>
  <c r="GM31" i="1" s="1"/>
  <c r="AD46" i="1"/>
  <c r="GO33" i="1"/>
  <c r="GM33" i="1"/>
  <c r="GM32" i="1"/>
  <c r="GO32" i="1"/>
  <c r="AJ46" i="1"/>
  <c r="CZ40" i="1"/>
  <c r="Y40" i="1" s="1"/>
  <c r="CY40" i="1"/>
  <c r="X40" i="1" s="1"/>
  <c r="GM40" i="1" s="1"/>
  <c r="CZ35" i="1"/>
  <c r="Y35" i="1" s="1"/>
  <c r="CZ43" i="1"/>
  <c r="Y43" i="1" s="1"/>
  <c r="CY43" i="1"/>
  <c r="X43" i="1" s="1"/>
  <c r="GM37" i="1"/>
  <c r="GN37" i="1"/>
  <c r="GN81" i="1"/>
  <c r="GM81" i="1"/>
  <c r="GK85" i="1"/>
  <c r="CZ85" i="1"/>
  <c r="Y85" i="1" s="1"/>
  <c r="GK80" i="1"/>
  <c r="CZ80" i="1"/>
  <c r="Y80" i="1" s="1"/>
  <c r="AE152" i="1"/>
  <c r="AB82" i="1"/>
  <c r="CR82" i="1"/>
  <c r="Q82" i="1" s="1"/>
  <c r="CP82" i="1" s="1"/>
  <c r="O82" i="1" s="1"/>
  <c r="GN88" i="1"/>
  <c r="GM88" i="1"/>
  <c r="CY93" i="1"/>
  <c r="X93" i="1" s="1"/>
  <c r="GM93" i="1" s="1"/>
  <c r="CZ93" i="1"/>
  <c r="Y93" i="1" s="1"/>
  <c r="GO34" i="1"/>
  <c r="GN83" i="1"/>
  <c r="GM83" i="1"/>
  <c r="GN89" i="1"/>
  <c r="GM89" i="1"/>
  <c r="CY105" i="1"/>
  <c r="X105" i="1" s="1"/>
  <c r="CZ105" i="1"/>
  <c r="Y105" i="1" s="1"/>
  <c r="CP96" i="1"/>
  <c r="O96" i="1" s="1"/>
  <c r="CP99" i="1"/>
  <c r="O99" i="1" s="1"/>
  <c r="CP105" i="1"/>
  <c r="O105" i="1" s="1"/>
  <c r="GM91" i="1"/>
  <c r="GN91" i="1"/>
  <c r="T115" i="1"/>
  <c r="CZ127" i="1"/>
  <c r="Y127" i="1" s="1"/>
  <c r="CY127" i="1"/>
  <c r="X127" i="1" s="1"/>
  <c r="GM127" i="1" s="1"/>
  <c r="CZ129" i="1"/>
  <c r="Y129" i="1" s="1"/>
  <c r="CY129" i="1"/>
  <c r="X129" i="1" s="1"/>
  <c r="GM129" i="1" s="1"/>
  <c r="GM111" i="1"/>
  <c r="GN111" i="1"/>
  <c r="V113" i="1"/>
  <c r="V115" i="1"/>
  <c r="GM121" i="1"/>
  <c r="GN121" i="1"/>
  <c r="R122" i="1"/>
  <c r="GK122" i="1" s="1"/>
  <c r="GM125" i="1"/>
  <c r="GN125" i="1"/>
  <c r="Q115" i="1"/>
  <c r="CY119" i="1"/>
  <c r="X119" i="1" s="1"/>
  <c r="GM119" i="1" s="1"/>
  <c r="CZ119" i="1"/>
  <c r="Y119" i="1" s="1"/>
  <c r="U120" i="1"/>
  <c r="W122" i="1"/>
  <c r="Q124" i="1"/>
  <c r="AB133" i="1"/>
  <c r="AB138" i="1"/>
  <c r="Q118" i="1"/>
  <c r="V133" i="1"/>
  <c r="GK136" i="1"/>
  <c r="CZ136" i="1"/>
  <c r="Y136" i="1" s="1"/>
  <c r="GN136" i="1" s="1"/>
  <c r="GK140" i="1"/>
  <c r="CZ140" i="1"/>
  <c r="Y140" i="1" s="1"/>
  <c r="GN140" i="1" s="1"/>
  <c r="CY142" i="1"/>
  <c r="X142" i="1" s="1"/>
  <c r="GN142" i="1" s="1"/>
  <c r="GK148" i="1"/>
  <c r="CZ148" i="1"/>
  <c r="Y148" i="1" s="1"/>
  <c r="GK187" i="1"/>
  <c r="CZ187" i="1"/>
  <c r="Y187" i="1" s="1"/>
  <c r="GO187" i="1" s="1"/>
  <c r="GK201" i="1"/>
  <c r="CZ201" i="1"/>
  <c r="Y201" i="1" s="1"/>
  <c r="GM204" i="1"/>
  <c r="GN204" i="1"/>
  <c r="CB215" i="1" s="1"/>
  <c r="AC215" i="1"/>
  <c r="S131" i="1"/>
  <c r="AB134" i="1"/>
  <c r="AB139" i="1"/>
  <c r="CY148" i="1"/>
  <c r="X148" i="1" s="1"/>
  <c r="CY194" i="1"/>
  <c r="X194" i="1" s="1"/>
  <c r="GM203" i="1"/>
  <c r="GO203" i="1"/>
  <c r="P113" i="1"/>
  <c r="AC152" i="1" s="1"/>
  <c r="P122" i="1"/>
  <c r="CP122" i="1" s="1"/>
  <c r="O122" i="1" s="1"/>
  <c r="AT77" i="1"/>
  <c r="F170" i="1"/>
  <c r="V131" i="1"/>
  <c r="T133" i="1"/>
  <c r="AB145" i="1"/>
  <c r="CR145" i="1"/>
  <c r="Q145" i="1" s="1"/>
  <c r="CP145" i="1" s="1"/>
  <c r="O145" i="1" s="1"/>
  <c r="BZ77" i="1"/>
  <c r="CG152" i="1"/>
  <c r="AQ152" i="1"/>
  <c r="P133" i="1"/>
  <c r="CP133" i="1" s="1"/>
  <c r="O133" i="1" s="1"/>
  <c r="GM188" i="1"/>
  <c r="GO188" i="1"/>
  <c r="AI183" i="1"/>
  <c r="V215" i="1"/>
  <c r="GM197" i="1"/>
  <c r="GO197" i="1"/>
  <c r="AB295" i="1"/>
  <c r="GO206" i="1"/>
  <c r="AX183" i="1"/>
  <c r="F222" i="1"/>
  <c r="GO212" i="1"/>
  <c r="GM212" i="1"/>
  <c r="P252" i="1"/>
  <c r="CF252" i="1"/>
  <c r="AC246" i="1"/>
  <c r="CE252" i="1"/>
  <c r="CH252" i="1"/>
  <c r="CP249" i="1"/>
  <c r="O249" i="1" s="1"/>
  <c r="F304" i="1"/>
  <c r="AO283" i="1"/>
  <c r="W286" i="1"/>
  <c r="CZ199" i="1"/>
  <c r="Y199" i="1" s="1"/>
  <c r="CP211" i="1"/>
  <c r="O211" i="1" s="1"/>
  <c r="U289" i="1"/>
  <c r="AH300" i="1" s="1"/>
  <c r="CZ295" i="1"/>
  <c r="Y295" i="1" s="1"/>
  <c r="BC283" i="1"/>
  <c r="F316" i="1"/>
  <c r="CY295" i="1"/>
  <c r="X295" i="1" s="1"/>
  <c r="BC246" i="1"/>
  <c r="F268" i="1"/>
  <c r="AP283" i="1"/>
  <c r="F309" i="1"/>
  <c r="T289" i="1"/>
  <c r="AG300" i="1" s="1"/>
  <c r="CZ296" i="1"/>
  <c r="Y296" i="1" s="1"/>
  <c r="AK46" i="1"/>
  <c r="AG26" i="1"/>
  <c r="T46" i="1"/>
  <c r="GO35" i="1"/>
  <c r="AH26" i="1"/>
  <c r="U46" i="1"/>
  <c r="CY35" i="1"/>
  <c r="X35" i="1" s="1"/>
  <c r="GM35" i="1" s="1"/>
  <c r="AB85" i="1"/>
  <c r="CR85" i="1"/>
  <c r="Q85" i="1" s="1"/>
  <c r="CP85" i="1" s="1"/>
  <c r="O85" i="1" s="1"/>
  <c r="AB80" i="1"/>
  <c r="CR80" i="1"/>
  <c r="Q80" i="1" s="1"/>
  <c r="AJ152" i="1"/>
  <c r="AZ26" i="1"/>
  <c r="F57" i="1"/>
  <c r="CP41" i="1"/>
  <c r="O41" i="1" s="1"/>
  <c r="GN97" i="1"/>
  <c r="GM97" i="1"/>
  <c r="CZ109" i="1"/>
  <c r="Y109" i="1" s="1"/>
  <c r="CY109" i="1"/>
  <c r="X109" i="1" s="1"/>
  <c r="GM109" i="1" s="1"/>
  <c r="T113" i="1"/>
  <c r="AG152" i="1" s="1"/>
  <c r="S118" i="1"/>
  <c r="GM112" i="1"/>
  <c r="GN112" i="1"/>
  <c r="GM114" i="1"/>
  <c r="GN114" i="1"/>
  <c r="GM116" i="1"/>
  <c r="GN116" i="1"/>
  <c r="S120" i="1"/>
  <c r="S124" i="1"/>
  <c r="BB77" i="1"/>
  <c r="F165" i="1"/>
  <c r="BB329" i="1"/>
  <c r="Q113" i="1"/>
  <c r="U115" i="1"/>
  <c r="AH152" i="1" s="1"/>
  <c r="R120" i="1"/>
  <c r="GK120" i="1" s="1"/>
  <c r="V122" i="1"/>
  <c r="U124" i="1"/>
  <c r="U118" i="1"/>
  <c r="T131" i="1"/>
  <c r="GX133" i="1"/>
  <c r="GK144" i="1"/>
  <c r="CZ144" i="1"/>
  <c r="Y144" i="1" s="1"/>
  <c r="AB148" i="1"/>
  <c r="CR148" i="1"/>
  <c r="Q148" i="1" s="1"/>
  <c r="CP148" i="1" s="1"/>
  <c r="O148" i="1" s="1"/>
  <c r="AB201" i="1"/>
  <c r="CR201" i="1"/>
  <c r="Q201" i="1" s="1"/>
  <c r="CP201" i="1" s="1"/>
  <c r="O201" i="1" s="1"/>
  <c r="T118" i="1"/>
  <c r="P124" i="1"/>
  <c r="CP137" i="1"/>
  <c r="O137" i="1" s="1"/>
  <c r="CP141" i="1"/>
  <c r="O141" i="1" s="1"/>
  <c r="CY191" i="1"/>
  <c r="X191" i="1" s="1"/>
  <c r="GO191" i="1" s="1"/>
  <c r="AB199" i="1"/>
  <c r="CR199" i="1"/>
  <c r="Q199" i="1" s="1"/>
  <c r="CP199" i="1" s="1"/>
  <c r="O199" i="1" s="1"/>
  <c r="P115" i="1"/>
  <c r="CP115" i="1" s="1"/>
  <c r="O115" i="1" s="1"/>
  <c r="BY77" i="1"/>
  <c r="AP152" i="1"/>
  <c r="CI152" i="1"/>
  <c r="GK186" i="1"/>
  <c r="CZ186" i="1"/>
  <c r="Y186" i="1" s="1"/>
  <c r="AL215" i="1" s="1"/>
  <c r="AE215" i="1"/>
  <c r="GM189" i="1"/>
  <c r="GO189" i="1"/>
  <c r="T124" i="1"/>
  <c r="CY135" i="1"/>
  <c r="X135" i="1" s="1"/>
  <c r="GN135" i="1" s="1"/>
  <c r="CY145" i="1"/>
  <c r="X145" i="1" s="1"/>
  <c r="CY190" i="1"/>
  <c r="X190" i="1" s="1"/>
  <c r="AK215" i="1" s="1"/>
  <c r="CZ190" i="1"/>
  <c r="Y190" i="1" s="1"/>
  <c r="T122" i="1"/>
  <c r="AQ183" i="1"/>
  <c r="F225" i="1"/>
  <c r="GN295" i="1"/>
  <c r="GM295" i="1"/>
  <c r="BA252" i="1"/>
  <c r="CJ246" i="1"/>
  <c r="GP248" i="1"/>
  <c r="GM248" i="1"/>
  <c r="AB252" i="1"/>
  <c r="AB249" i="1"/>
  <c r="CY287" i="1"/>
  <c r="X287" i="1" s="1"/>
  <c r="GN287" i="1" s="1"/>
  <c r="CZ287" i="1"/>
  <c r="Y287" i="1" s="1"/>
  <c r="CG283" i="1"/>
  <c r="AX300" i="1"/>
  <c r="AJ183" i="1"/>
  <c r="W215" i="1"/>
  <c r="AU215" i="1"/>
  <c r="CD183" i="1"/>
  <c r="GK210" i="1"/>
  <c r="GM210" i="1" s="1"/>
  <c r="CZ210" i="1"/>
  <c r="Y210" i="1" s="1"/>
  <c r="GO210" i="1" s="1"/>
  <c r="CY199" i="1"/>
  <c r="X199" i="1" s="1"/>
  <c r="GM208" i="1"/>
  <c r="GO208" i="1"/>
  <c r="AB211" i="1"/>
  <c r="T252" i="1"/>
  <c r="AG246" i="1"/>
  <c r="GM288" i="1"/>
  <c r="GN288" i="1"/>
  <c r="R289" i="1"/>
  <c r="GK289" i="1" s="1"/>
  <c r="GM296" i="1"/>
  <c r="BC22" i="1"/>
  <c r="F345" i="1"/>
  <c r="BC361" i="1"/>
  <c r="Q294" i="1"/>
  <c r="W294" i="1"/>
  <c r="T292" i="1"/>
  <c r="AE246" i="1"/>
  <c r="R252" i="1"/>
  <c r="CZ206" i="1"/>
  <c r="Y206" i="1" s="1"/>
  <c r="GM206" i="1" s="1"/>
  <c r="CY296" i="1"/>
  <c r="X296" i="1" s="1"/>
  <c r="GN296" i="1" s="1"/>
  <c r="AB183" i="1" l="1"/>
  <c r="O215" i="1"/>
  <c r="CJ77" i="1"/>
  <c r="BA152" i="1"/>
  <c r="CC283" i="1"/>
  <c r="AT300" i="1"/>
  <c r="AG77" i="1"/>
  <c r="T152" i="1"/>
  <c r="AL183" i="1"/>
  <c r="Y215" i="1"/>
  <c r="AG283" i="1"/>
  <c r="T300" i="1"/>
  <c r="AC77" i="1"/>
  <c r="CH152" i="1"/>
  <c r="P152" i="1"/>
  <c r="CF152" i="1"/>
  <c r="CE152" i="1"/>
  <c r="AL26" i="1"/>
  <c r="Y46" i="1"/>
  <c r="AK183" i="1"/>
  <c r="X215" i="1"/>
  <c r="AH77" i="1"/>
  <c r="U152" i="1"/>
  <c r="AH283" i="1"/>
  <c r="U300" i="1"/>
  <c r="CB183" i="1"/>
  <c r="AS215" i="1"/>
  <c r="GM294" i="1"/>
  <c r="AZ183" i="1"/>
  <c r="F226" i="1"/>
  <c r="GO202" i="1"/>
  <c r="GM202" i="1"/>
  <c r="GM186" i="1"/>
  <c r="GN40" i="1"/>
  <c r="AE26" i="1"/>
  <c r="R46" i="1"/>
  <c r="GN292" i="1"/>
  <c r="GM292" i="1"/>
  <c r="CZ286" i="1"/>
  <c r="Y286" i="1" s="1"/>
  <c r="CY286" i="1"/>
  <c r="X286" i="1" s="1"/>
  <c r="AF300" i="1"/>
  <c r="CY294" i="1"/>
  <c r="X294" i="1" s="1"/>
  <c r="GN294" i="1" s="1"/>
  <c r="GM213" i="1"/>
  <c r="GO213" i="1"/>
  <c r="CZ113" i="1"/>
  <c r="Y113" i="1" s="1"/>
  <c r="AL152" i="1" s="1"/>
  <c r="CY113" i="1"/>
  <c r="X113" i="1" s="1"/>
  <c r="AK152" i="1" s="1"/>
  <c r="GM108" i="1"/>
  <c r="GN108" i="1"/>
  <c r="CP118" i="1"/>
  <c r="O118" i="1" s="1"/>
  <c r="V283" i="1"/>
  <c r="F323" i="1"/>
  <c r="T183" i="1"/>
  <c r="F236" i="1"/>
  <c r="GM142" i="1"/>
  <c r="GM135" i="1"/>
  <c r="GN109" i="1"/>
  <c r="S183" i="1"/>
  <c r="F230" i="1"/>
  <c r="GM136" i="1"/>
  <c r="AJ77" i="1"/>
  <c r="W152" i="1"/>
  <c r="GM211" i="1"/>
  <c r="GO211" i="1"/>
  <c r="F238" i="1"/>
  <c r="V183" i="1"/>
  <c r="BC18" i="1"/>
  <c r="F377" i="1"/>
  <c r="AX283" i="1"/>
  <c r="F307" i="1"/>
  <c r="GM190" i="1"/>
  <c r="CP124" i="1"/>
  <c r="O124" i="1" s="1"/>
  <c r="GN148" i="1"/>
  <c r="GM148" i="1"/>
  <c r="BB22" i="1"/>
  <c r="F342" i="1"/>
  <c r="BB361" i="1"/>
  <c r="CZ120" i="1"/>
  <c r="Y120" i="1" s="1"/>
  <c r="CY120" i="1"/>
  <c r="X120" i="1" s="1"/>
  <c r="AD152" i="1"/>
  <c r="CP80" i="1"/>
  <c r="O80" i="1" s="1"/>
  <c r="GM249" i="1"/>
  <c r="CA252" i="1" s="1"/>
  <c r="GP249" i="1"/>
  <c r="AW252" i="1"/>
  <c r="CF246" i="1"/>
  <c r="AQ77" i="1"/>
  <c r="F162" i="1"/>
  <c r="AQ329" i="1"/>
  <c r="AI152" i="1"/>
  <c r="GM96" i="1"/>
  <c r="GN96" i="1"/>
  <c r="AF152" i="1"/>
  <c r="AD300" i="1"/>
  <c r="CY289" i="1"/>
  <c r="X289" i="1" s="1"/>
  <c r="GN289" i="1" s="1"/>
  <c r="X246" i="1"/>
  <c r="F277" i="1"/>
  <c r="GO198" i="1"/>
  <c r="GM198" i="1"/>
  <c r="GM139" i="1"/>
  <c r="GN139" i="1"/>
  <c r="GO186" i="1"/>
  <c r="CC215" i="1" s="1"/>
  <c r="GN44" i="1"/>
  <c r="GM44" i="1"/>
  <c r="AX26" i="1"/>
  <c r="F53" i="1"/>
  <c r="AE300" i="1"/>
  <c r="CZ294" i="1"/>
  <c r="Y294" i="1" s="1"/>
  <c r="GM207" i="1"/>
  <c r="CP120" i="1"/>
  <c r="O120" i="1" s="1"/>
  <c r="AC26" i="1"/>
  <c r="CH46" i="1"/>
  <c r="P46" i="1"/>
  <c r="CF46" i="1"/>
  <c r="CE46" i="1"/>
  <c r="CY133" i="1"/>
  <c r="X133" i="1" s="1"/>
  <c r="GN133" i="1" s="1"/>
  <c r="GM287" i="1"/>
  <c r="CZ124" i="1"/>
  <c r="Y124" i="1" s="1"/>
  <c r="CY124" i="1"/>
  <c r="X124" i="1" s="1"/>
  <c r="AK26" i="1"/>
  <c r="X46" i="1"/>
  <c r="GM133" i="1"/>
  <c r="GM99" i="1"/>
  <c r="GN99" i="1"/>
  <c r="AU183" i="1"/>
  <c r="F234" i="1"/>
  <c r="O252" i="1"/>
  <c r="AB246" i="1"/>
  <c r="F272" i="1"/>
  <c r="BA246" i="1"/>
  <c r="CI77" i="1"/>
  <c r="AZ152" i="1"/>
  <c r="GO199" i="1"/>
  <c r="GM199" i="1"/>
  <c r="GO190" i="1"/>
  <c r="U26" i="1"/>
  <c r="F68" i="1"/>
  <c r="T26" i="1"/>
  <c r="F67" i="1"/>
  <c r="T329" i="1"/>
  <c r="AJ300" i="1"/>
  <c r="CH246" i="1"/>
  <c r="AY252" i="1"/>
  <c r="F255" i="1"/>
  <c r="P246" i="1"/>
  <c r="CG77" i="1"/>
  <c r="AX152" i="1"/>
  <c r="AX329" i="1" s="1"/>
  <c r="CY131" i="1"/>
  <c r="X131" i="1" s="1"/>
  <c r="CZ131" i="1"/>
  <c r="Y131" i="1" s="1"/>
  <c r="GN82" i="1"/>
  <c r="GM82" i="1"/>
  <c r="AJ26" i="1"/>
  <c r="W46" i="1"/>
  <c r="AF26" i="1"/>
  <c r="S46" i="1"/>
  <c r="U246" i="1"/>
  <c r="F274" i="1"/>
  <c r="CZ289" i="1"/>
  <c r="Y289" i="1" s="1"/>
  <c r="CP286" i="1"/>
  <c r="O286" i="1" s="1"/>
  <c r="AC300" i="1"/>
  <c r="AU77" i="1"/>
  <c r="F171" i="1"/>
  <c r="GM134" i="1"/>
  <c r="GN134" i="1"/>
  <c r="GN147" i="1"/>
  <c r="GM147" i="1"/>
  <c r="CZ122" i="1"/>
  <c r="Y122" i="1" s="1"/>
  <c r="CY122" i="1"/>
  <c r="X122" i="1" s="1"/>
  <c r="GN122" i="1" s="1"/>
  <c r="GN31" i="1"/>
  <c r="AZ283" i="1"/>
  <c r="F311" i="1"/>
  <c r="Y246" i="1"/>
  <c r="F278" i="1"/>
  <c r="AD215" i="1"/>
  <c r="AX246" i="1"/>
  <c r="F259" i="1"/>
  <c r="AO22" i="1"/>
  <c r="AO361" i="1"/>
  <c r="F333" i="1"/>
  <c r="GM29" i="1"/>
  <c r="CA46" i="1" s="1"/>
  <c r="GN29" i="1"/>
  <c r="AB46" i="1"/>
  <c r="GN30" i="1"/>
  <c r="F264" i="1"/>
  <c r="Q246" i="1"/>
  <c r="GM187" i="1"/>
  <c r="GM138" i="1"/>
  <c r="GN129" i="1"/>
  <c r="GN93" i="1"/>
  <c r="GM191" i="1"/>
  <c r="U183" i="1"/>
  <c r="F237" i="1"/>
  <c r="GM140" i="1"/>
  <c r="BA183" i="1"/>
  <c r="F235" i="1"/>
  <c r="GN127" i="1"/>
  <c r="GN119" i="1"/>
  <c r="V26" i="1"/>
  <c r="F69" i="1"/>
  <c r="CD252" i="1"/>
  <c r="GM137" i="1"/>
  <c r="GN137" i="1"/>
  <c r="CZ118" i="1"/>
  <c r="Y118" i="1" s="1"/>
  <c r="CY118" i="1"/>
  <c r="X118" i="1" s="1"/>
  <c r="GM41" i="1"/>
  <c r="GN41" i="1"/>
  <c r="GN145" i="1"/>
  <c r="GM145" i="1"/>
  <c r="AE77" i="1"/>
  <c r="R152" i="1"/>
  <c r="T246" i="1"/>
  <c r="F273" i="1"/>
  <c r="R246" i="1"/>
  <c r="F266" i="1"/>
  <c r="W183" i="1"/>
  <c r="F239" i="1"/>
  <c r="AE183" i="1"/>
  <c r="R215" i="1"/>
  <c r="AP77" i="1"/>
  <c r="F161" i="1"/>
  <c r="AP329" i="1"/>
  <c r="GM141" i="1"/>
  <c r="GN141" i="1"/>
  <c r="GO201" i="1"/>
  <c r="GM201" i="1"/>
  <c r="GN85" i="1"/>
  <c r="GM85" i="1"/>
  <c r="AV252" i="1"/>
  <c r="CE246" i="1"/>
  <c r="CP113" i="1"/>
  <c r="O113" i="1" s="1"/>
  <c r="AC183" i="1"/>
  <c r="CE215" i="1"/>
  <c r="P215" i="1"/>
  <c r="CF215" i="1"/>
  <c r="CH215" i="1"/>
  <c r="GM105" i="1"/>
  <c r="GN105" i="1"/>
  <c r="CC46" i="1"/>
  <c r="AD26" i="1"/>
  <c r="Q46" i="1"/>
  <c r="GM289" i="1"/>
  <c r="CJ300" i="1"/>
  <c r="GO195" i="1"/>
  <c r="GM195" i="1"/>
  <c r="GO194" i="1"/>
  <c r="GM194" i="1"/>
  <c r="CP131" i="1"/>
  <c r="O131" i="1" s="1"/>
  <c r="GN90" i="1"/>
  <c r="GM90" i="1"/>
  <c r="GN43" i="1"/>
  <c r="GM43" i="1"/>
  <c r="F263" i="1"/>
  <c r="AZ246" i="1"/>
  <c r="GM132" i="1"/>
  <c r="GN132" i="1"/>
  <c r="CA215" i="1"/>
  <c r="GN144" i="1"/>
  <c r="GM144" i="1"/>
  <c r="CZ115" i="1"/>
  <c r="Y115" i="1" s="1"/>
  <c r="CY115" i="1"/>
  <c r="X115" i="1" s="1"/>
  <c r="GN115" i="1" s="1"/>
  <c r="GN79" i="1"/>
  <c r="GM79" i="1"/>
  <c r="BA26" i="1"/>
  <c r="F66" i="1"/>
  <c r="AX22" i="1" l="1"/>
  <c r="AX361" i="1"/>
  <c r="F336" i="1"/>
  <c r="CC183" i="1"/>
  <c r="AT215" i="1"/>
  <c r="CA26" i="1"/>
  <c r="AR46" i="1"/>
  <c r="AK77" i="1"/>
  <c r="X152" i="1"/>
  <c r="AR252" i="1"/>
  <c r="CA246" i="1"/>
  <c r="AL77" i="1"/>
  <c r="Y152" i="1"/>
  <c r="CA183" i="1"/>
  <c r="AR215" i="1"/>
  <c r="GM113" i="1"/>
  <c r="GN113" i="1"/>
  <c r="CJ283" i="1"/>
  <c r="BA300" i="1"/>
  <c r="Q26" i="1"/>
  <c r="F58" i="1"/>
  <c r="CB152" i="1"/>
  <c r="CH183" i="1"/>
  <c r="AY215" i="1"/>
  <c r="CD246" i="1"/>
  <c r="AU252" i="1"/>
  <c r="CB46" i="1"/>
  <c r="GM122" i="1"/>
  <c r="T22" i="1"/>
  <c r="F350" i="1"/>
  <c r="T361" i="1"/>
  <c r="CF26" i="1"/>
  <c r="AW46" i="1"/>
  <c r="GM120" i="1"/>
  <c r="GN120" i="1"/>
  <c r="AF283" i="1"/>
  <c r="S300" i="1"/>
  <c r="U77" i="1"/>
  <c r="F174" i="1"/>
  <c r="CF77" i="1"/>
  <c r="AW152" i="1"/>
  <c r="T283" i="1"/>
  <c r="F321" i="1"/>
  <c r="T77" i="1"/>
  <c r="F173" i="1"/>
  <c r="BA77" i="1"/>
  <c r="F172" i="1"/>
  <c r="AY246" i="1"/>
  <c r="F260" i="1"/>
  <c r="AK300" i="1"/>
  <c r="R26" i="1"/>
  <c r="F60" i="1"/>
  <c r="U283" i="1"/>
  <c r="F322" i="1"/>
  <c r="P77" i="1"/>
  <c r="F155" i="1"/>
  <c r="CF183" i="1"/>
  <c r="AW215" i="1"/>
  <c r="F229" i="1"/>
  <c r="R183" i="1"/>
  <c r="X26" i="1"/>
  <c r="F71" i="1"/>
  <c r="Y26" i="1"/>
  <c r="F72" i="1"/>
  <c r="AB152" i="1"/>
  <c r="GN131" i="1"/>
  <c r="GM131" i="1"/>
  <c r="P183" i="1"/>
  <c r="F218" i="1"/>
  <c r="AP22" i="1"/>
  <c r="F338" i="1"/>
  <c r="G16" i="2" s="1"/>
  <c r="G18" i="2" s="1"/>
  <c r="AP361" i="1"/>
  <c r="R77" i="1"/>
  <c r="F166" i="1"/>
  <c r="CH300" i="1"/>
  <c r="CE300" i="1"/>
  <c r="P300" i="1"/>
  <c r="CF300" i="1"/>
  <c r="AC283" i="1"/>
  <c r="O246" i="1"/>
  <c r="F254" i="1"/>
  <c r="CH26" i="1"/>
  <c r="AY46" i="1"/>
  <c r="AD283" i="1"/>
  <c r="Q300" i="1"/>
  <c r="AI77" i="1"/>
  <c r="V152" i="1"/>
  <c r="GN80" i="1"/>
  <c r="GM80" i="1"/>
  <c r="CA152" i="1" s="1"/>
  <c r="BB18" i="1"/>
  <c r="F374" i="1"/>
  <c r="GM115" i="1"/>
  <c r="AL300" i="1"/>
  <c r="X183" i="1"/>
  <c r="F240" i="1"/>
  <c r="CH77" i="1"/>
  <c r="AY152" i="1"/>
  <c r="Y183" i="1"/>
  <c r="F241" i="1"/>
  <c r="AT283" i="1"/>
  <c r="F318" i="1"/>
  <c r="O183" i="1"/>
  <c r="F217" i="1"/>
  <c r="CC26" i="1"/>
  <c r="AT46" i="1"/>
  <c r="W26" i="1"/>
  <c r="F70" i="1"/>
  <c r="AX77" i="1"/>
  <c r="F159" i="1"/>
  <c r="AZ77" i="1"/>
  <c r="F163" i="1"/>
  <c r="AZ329" i="1"/>
  <c r="P26" i="1"/>
  <c r="F49" i="1"/>
  <c r="CE183" i="1"/>
  <c r="AV215" i="1"/>
  <c r="AV246" i="1"/>
  <c r="F257" i="1"/>
  <c r="AB26" i="1"/>
  <c r="O46" i="1"/>
  <c r="AO18" i="1"/>
  <c r="F365" i="1"/>
  <c r="AD183" i="1"/>
  <c r="Q215" i="1"/>
  <c r="GN286" i="1"/>
  <c r="CB300" i="1" s="1"/>
  <c r="GM286" i="1"/>
  <c r="CA300" i="1" s="1"/>
  <c r="AB300" i="1"/>
  <c r="S26" i="1"/>
  <c r="F61" i="1"/>
  <c r="AJ283" i="1"/>
  <c r="W300" i="1"/>
  <c r="U329" i="1"/>
  <c r="CE26" i="1"/>
  <c r="AV46" i="1"/>
  <c r="AE283" i="1"/>
  <c r="R300" i="1"/>
  <c r="R329" i="1" s="1"/>
  <c r="AF77" i="1"/>
  <c r="S152" i="1"/>
  <c r="AQ22" i="1"/>
  <c r="AQ361" i="1"/>
  <c r="F339" i="1"/>
  <c r="AW246" i="1"/>
  <c r="F258" i="1"/>
  <c r="AD77" i="1"/>
  <c r="Q152" i="1"/>
  <c r="Q329" i="1" s="1"/>
  <c r="GM124" i="1"/>
  <c r="GN124" i="1"/>
  <c r="W77" i="1"/>
  <c r="F176" i="1"/>
  <c r="GM118" i="1"/>
  <c r="GN118" i="1"/>
  <c r="AS183" i="1"/>
  <c r="F232" i="1"/>
  <c r="CE77" i="1"/>
  <c r="AV152" i="1"/>
  <c r="R22" i="1" l="1"/>
  <c r="R361" i="1"/>
  <c r="F343" i="1"/>
  <c r="Q22" i="1"/>
  <c r="Q361" i="1"/>
  <c r="F341" i="1"/>
  <c r="CA77" i="1"/>
  <c r="AR152" i="1"/>
  <c r="AQ18" i="1"/>
  <c r="F371" i="1"/>
  <c r="U22" i="1"/>
  <c r="U361" i="1"/>
  <c r="F351" i="1"/>
  <c r="AK283" i="1"/>
  <c r="X300" i="1"/>
  <c r="CB77" i="1"/>
  <c r="AS152" i="1"/>
  <c r="F320" i="1"/>
  <c r="BA283" i="1"/>
  <c r="BA329" i="1"/>
  <c r="AV77" i="1"/>
  <c r="F157" i="1"/>
  <c r="W283" i="1"/>
  <c r="F324" i="1"/>
  <c r="Q183" i="1"/>
  <c r="F227" i="1"/>
  <c r="O26" i="1"/>
  <c r="F48" i="1"/>
  <c r="AV183" i="1"/>
  <c r="F220" i="1"/>
  <c r="CF283" i="1"/>
  <c r="AW300" i="1"/>
  <c r="AW77" i="1"/>
  <c r="F158" i="1"/>
  <c r="S283" i="1"/>
  <c r="F315" i="1"/>
  <c r="AW26" i="1"/>
  <c r="F52" i="1"/>
  <c r="AW329" i="1"/>
  <c r="AR183" i="1"/>
  <c r="F242" i="1"/>
  <c r="AR26" i="1"/>
  <c r="F73" i="1"/>
  <c r="R283" i="1"/>
  <c r="F314" i="1"/>
  <c r="V77" i="1"/>
  <c r="F175" i="1"/>
  <c r="V329" i="1"/>
  <c r="AY26" i="1"/>
  <c r="F54" i="1"/>
  <c r="CH283" i="1"/>
  <c r="AY300" i="1"/>
  <c r="S77" i="1"/>
  <c r="F167" i="1"/>
  <c r="AV26" i="1"/>
  <c r="F51" i="1"/>
  <c r="AT26" i="1"/>
  <c r="F64" i="1"/>
  <c r="AT329" i="1"/>
  <c r="AY77" i="1"/>
  <c r="F160" i="1"/>
  <c r="AL283" i="1"/>
  <c r="Y300" i="1"/>
  <c r="Q283" i="1"/>
  <c r="F312" i="1"/>
  <c r="P283" i="1"/>
  <c r="F303" i="1"/>
  <c r="AB77" i="1"/>
  <c r="O152" i="1"/>
  <c r="AY183" i="1"/>
  <c r="F223" i="1"/>
  <c r="F279" i="1"/>
  <c r="AR246" i="1"/>
  <c r="AX18" i="1"/>
  <c r="F368" i="1"/>
  <c r="CB283" i="1"/>
  <c r="AS300" i="1"/>
  <c r="F271" i="1"/>
  <c r="AU246" i="1"/>
  <c r="AU329" i="1"/>
  <c r="AB283" i="1"/>
  <c r="O300" i="1"/>
  <c r="AZ22" i="1"/>
  <c r="F340" i="1"/>
  <c r="AZ361" i="1"/>
  <c r="Q77" i="1"/>
  <c r="F164" i="1"/>
  <c r="S329" i="1"/>
  <c r="CA283" i="1"/>
  <c r="AR300" i="1"/>
  <c r="P329" i="1"/>
  <c r="W329" i="1"/>
  <c r="CE283" i="1"/>
  <c r="AV300" i="1"/>
  <c r="AV329" i="1" s="1"/>
  <c r="AP18" i="1"/>
  <c r="F370" i="1"/>
  <c r="AW183" i="1"/>
  <c r="F221" i="1"/>
  <c r="T18" i="1"/>
  <c r="F382" i="1"/>
  <c r="CB26" i="1"/>
  <c r="AS46" i="1"/>
  <c r="Y77" i="1"/>
  <c r="F178" i="1"/>
  <c r="X77" i="1"/>
  <c r="F177" i="1"/>
  <c r="F233" i="1"/>
  <c r="AT183" i="1"/>
  <c r="AV22" i="1" l="1"/>
  <c r="F334" i="1"/>
  <c r="AV361" i="1"/>
  <c r="O283" i="1"/>
  <c r="F302" i="1"/>
  <c r="W22" i="1"/>
  <c r="F353" i="1"/>
  <c r="W361" i="1"/>
  <c r="S22" i="1"/>
  <c r="F344" i="1"/>
  <c r="J16" i="2" s="1"/>
  <c r="J18" i="2" s="1"/>
  <c r="S361" i="1"/>
  <c r="AU22" i="1"/>
  <c r="F348" i="1"/>
  <c r="H16" i="2" s="1"/>
  <c r="H18" i="2" s="1"/>
  <c r="AU361" i="1"/>
  <c r="AW22" i="1"/>
  <c r="AW361" i="1"/>
  <c r="F335" i="1"/>
  <c r="BA22" i="1"/>
  <c r="BA361" i="1"/>
  <c r="F349" i="1"/>
  <c r="U18" i="1"/>
  <c r="F383" i="1"/>
  <c r="AR77" i="1"/>
  <c r="F179" i="1"/>
  <c r="AV283" i="1"/>
  <c r="F305" i="1"/>
  <c r="P22" i="1"/>
  <c r="F332" i="1"/>
  <c r="P361" i="1"/>
  <c r="Y283" i="1"/>
  <c r="F326" i="1"/>
  <c r="Y329" i="1"/>
  <c r="AT22" i="1"/>
  <c r="AT361" i="1"/>
  <c r="F347" i="1"/>
  <c r="F16" i="2" s="1"/>
  <c r="F18" i="2" s="1"/>
  <c r="AY283" i="1"/>
  <c r="F308" i="1"/>
  <c r="X283" i="1"/>
  <c r="F325" i="1"/>
  <c r="X329" i="1"/>
  <c r="AS26" i="1"/>
  <c r="F63" i="1"/>
  <c r="AS329" i="1"/>
  <c r="AR283" i="1"/>
  <c r="F327" i="1"/>
  <c r="V22" i="1"/>
  <c r="F352" i="1"/>
  <c r="V361" i="1"/>
  <c r="R18" i="1"/>
  <c r="F375" i="1"/>
  <c r="AZ18" i="1"/>
  <c r="F372" i="1"/>
  <c r="AS283" i="1"/>
  <c r="F317" i="1"/>
  <c r="O77" i="1"/>
  <c r="F154" i="1"/>
  <c r="AY329" i="1"/>
  <c r="AR329" i="1"/>
  <c r="AW283" i="1"/>
  <c r="F306" i="1"/>
  <c r="O329" i="1"/>
  <c r="AS77" i="1"/>
  <c r="F169" i="1"/>
  <c r="Q18" i="1"/>
  <c r="F373" i="1"/>
  <c r="AT18" i="1" l="1"/>
  <c r="F379" i="1"/>
  <c r="AY22" i="1"/>
  <c r="F337" i="1"/>
  <c r="AY361" i="1"/>
  <c r="V18" i="1"/>
  <c r="F384" i="1"/>
  <c r="X22" i="1"/>
  <c r="F354" i="1"/>
  <c r="X361" i="1"/>
  <c r="Y22" i="1"/>
  <c r="F355" i="1"/>
  <c r="Y361" i="1"/>
  <c r="AW18" i="1"/>
  <c r="F367" i="1"/>
  <c r="W18" i="1"/>
  <c r="F385" i="1"/>
  <c r="AS22" i="1"/>
  <c r="AS361" i="1"/>
  <c r="F346" i="1"/>
  <c r="E16" i="2" s="1"/>
  <c r="BA18" i="1"/>
  <c r="F381" i="1"/>
  <c r="S18" i="1"/>
  <c r="F376" i="1"/>
  <c r="AV18" i="1"/>
  <c r="F366" i="1"/>
  <c r="AR22" i="1"/>
  <c r="F356" i="1"/>
  <c r="F357" i="1" s="1"/>
  <c r="AR361" i="1"/>
  <c r="AU18" i="1"/>
  <c r="F380" i="1"/>
  <c r="O22" i="1"/>
  <c r="O361" i="1"/>
  <c r="F331" i="1"/>
  <c r="P18" i="1"/>
  <c r="F364" i="1"/>
  <c r="AS18" i="1" l="1"/>
  <c r="F378" i="1"/>
  <c r="E18" i="2"/>
  <c r="I16" i="2"/>
  <c r="I18" i="2" s="1"/>
  <c r="X18" i="1"/>
  <c r="F386" i="1"/>
  <c r="F358" i="1"/>
  <c r="F359" i="1" s="1"/>
  <c r="O18" i="1"/>
  <c r="F363" i="1"/>
  <c r="AR18" i="1"/>
  <c r="F388" i="1"/>
  <c r="Y18" i="1"/>
  <c r="F387" i="1"/>
  <c r="AY18" i="1"/>
  <c r="F369" i="1"/>
</calcChain>
</file>

<file path=xl/sharedStrings.xml><?xml version="1.0" encoding="utf-8"?>
<sst xmlns="http://schemas.openxmlformats.org/spreadsheetml/2006/main" count="12441" uniqueCount="1179">
  <si>
    <t>Smeta.RU  (495) 974-1589</t>
  </si>
  <si>
    <t>_PS_</t>
  </si>
  <si>
    <t>Smeta.RU</t>
  </si>
  <si>
    <t>НИЯУ МИФИ  Доп. раб. место  MCCS-0027251</t>
  </si>
  <si>
    <t>Новый объект</t>
  </si>
  <si>
    <t>на капитальный ремонт 2-го этажа здания корпуса 30 НИЯУ МИФИ по адресу: г.Москва,Каширское шоссе,д.31,стр.7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</si>
  <si>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</si>
  <si>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</si>
  <si>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</si>
  <si>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</si>
  <si>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</si>
  <si>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</si>
  <si>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</si>
  <si>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</si>
  <si>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Демонтаж</t>
  </si>
  <si>
    <t>1</t>
  </si>
  <si>
    <t>46-04-012-03</t>
  </si>
  <si>
    <t>Разборка деревянных заполнений проемов дверных и воротных</t>
  </si>
  <si>
    <t>100 м2</t>
  </si>
  <si>
    <t>ФЕР-2001, 46-04-012-03,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</si>
  <si>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</si>
  <si>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</si>
  <si>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</si>
  <si>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</si>
  <si>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</si>
  <si>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</si>
  <si>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67-4-5</t>
  </si>
  <si>
    <t>Демонтаж светильников для люминесцентных ламп (прим.)</t>
  </si>
  <si>
    <t>100 ШТ</t>
  </si>
  <si>
    <t>ФЕРр-2001, 67-4-5, приказ Минстроя России №1039/пр от 30.12.2016г.</t>
  </si>
  <si>
    <t>Ремонтно-строительные работы</t>
  </si>
  <si>
    <t>Электромонтажные работы</t>
  </si>
  <si>
    <t>рФЕР-67</t>
  </si>
  <si>
    <t>3</t>
  </si>
  <si>
    <t>67-4-1</t>
  </si>
  <si>
    <t>Демонтаж выключателей, розеток</t>
  </si>
  <si>
    <t>ФЕРр-2001, 67-4-1, приказ Минстроя России №1039/пр от 30.12.2016г.</t>
  </si>
  <si>
    <t>4</t>
  </si>
  <si>
    <t>67-3-1</t>
  </si>
  <si>
    <t>Демонтаж кабеля</t>
  </si>
  <si>
    <t>100 м</t>
  </si>
  <si>
    <t>ФЕРр-2001, 67-3-1, приказ Минстроя России №1039/пр от 30.12.2016г.</t>
  </si>
  <si>
    <t>5</t>
  </si>
  <si>
    <t>м08-02-370-02</t>
  </si>
  <si>
    <t>Демонтаж:Щиток до трех групп, устанавливаемый в нише цоколя</t>
  </si>
  <si>
    <t>ШТ</t>
  </si>
  <si>
    <t>ФЕРм-2001, м08-02-370-02, приказ Минстроя России №1039/пр от 30.12.2016г.</t>
  </si>
  <si>
    <t>Поправка: Табл.3, п.4  Наименование: Демонтаж: Оборудование, не пригодное для дальнейшего использования, (предназначено в лом) без разборки и резки</t>
  </si>
  <si>
    <t>)*0</t>
  </si>
  <si>
    <t>)*0,3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</si>
  <si>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</si>
  <si>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</si>
  <si>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</si>
  <si>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Табл.3, п.4</t>
  </si>
  <si>
    <t>6</t>
  </si>
  <si>
    <t>м08-02-390-01</t>
  </si>
  <si>
    <t>Демонтаж:Короба пластмассовые шириной до 40 мм</t>
  </si>
  <si>
    <t>ФЕРм-2001, м08-02-390-01, приказ Минстроя России №1039/пр от 30.12.2016г.</t>
  </si>
  <si>
    <t>7</t>
  </si>
  <si>
    <t>м10-08-002-01</t>
  </si>
  <si>
    <t>Демонтаж:ПС автоматический тепловой электро-контактный, магнитоконтактный в нормальном исполнении</t>
  </si>
  <si>
    <t>ФЕРм-2001, м10-08-002-01, приказ Минстроя России №1039/пр от 30.12.2016г.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</si>
  <si>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</si>
  <si>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мФЕР-10</t>
  </si>
  <si>
    <t>8</t>
  </si>
  <si>
    <t>м10-04-101-07</t>
  </si>
  <si>
    <t>Демонтаж:Громкоговоритель или звуковая колонка в помещении</t>
  </si>
  <si>
    <t>ФЕРм-2001, м10-04-101-07, приказ Минстроя России №1039/пр от 30.12.2016г.</t>
  </si>
  <si>
    <t>)*0,6</t>
  </si>
  <si>
    <t>Связь:  монтаж теле- радио оборудования ( отдел 4 и 5 )  - (при устройстве средств посадки самолетов : НР=95%, СП=55% - {АВИА}=1)</t>
  </si>
  <si>
    <t>Поправка: МДС 81-37.2004, п.3.2.1.2</t>
  </si>
  <si>
    <t>9</t>
  </si>
  <si>
    <t>57-2-2</t>
  </si>
  <si>
    <t>Разборка покрытий полов из плиток поливинилхлоридных</t>
  </si>
  <si>
    <t>ФЕРр-2001, 57-2-2, приказ Минстроя России №1039/пр от 30.12.2016г.</t>
  </si>
  <si>
    <t>Полы</t>
  </si>
  <si>
    <t>рФЕР-57</t>
  </si>
  <si>
    <t>10</t>
  </si>
  <si>
    <t>11-01-011-01</t>
  </si>
  <si>
    <t>Демонтаж: Устройство стяжек цементных толщиной 20 мм</t>
  </si>
  <si>
    <t>ФЕР-2001, 11-01-011-01, приказ Минстроя России №1039/пр от 30.12.2016г.</t>
  </si>
  <si>
    <t>Поправка: Табл.2, п.2  Наименование: При демонтаже (разборке) сборных деревянных конструкций</t>
  </si>
  <si>
    <t>)*0,8</t>
  </si>
  <si>
    <t>ФЕР-11</t>
  </si>
  <si>
    <t>Поправка: Табл.2, п.2</t>
  </si>
  <si>
    <t>11</t>
  </si>
  <si>
    <t>57-3-1</t>
  </si>
  <si>
    <t>Разборка плинтусов деревянных и из пластмассовых материалов</t>
  </si>
  <si>
    <t>ФЕРр-2001, 57-3-1, приказ Минстроя России №1039/пр от 30.12.2016г.</t>
  </si>
  <si>
    <t>12</t>
  </si>
  <si>
    <t>63-7-5</t>
  </si>
  <si>
    <t>Разборка облицовки стен из керамических глазурованных плиток</t>
  </si>
  <si>
    <t>ФЕРр-2001, 63-7-5, приказ Минстроя России №1039/пр от 30.12.2016г.</t>
  </si>
  <si>
    <t>Стекольные, обойные, облицовочные работы</t>
  </si>
  <si>
    <t>рФЕР-63</t>
  </si>
  <si>
    <t>13</t>
  </si>
  <si>
    <t>65-3-7</t>
  </si>
  <si>
    <t>Снятие смесителя без душевой сетки</t>
  </si>
  <si>
    <t>ФЕРр-2001, 65-3-7, приказ Минстроя России №1039/пр от 30.12.2016г.</t>
  </si>
  <si>
    <t>Внтуренниие с/техработы:  демонтаж, разборка, промывка</t>
  </si>
  <si>
    <t>рФЕР-65</t>
  </si>
  <si>
    <t>13,1</t>
  </si>
  <si>
    <t>01.7.07.07</t>
  </si>
  <si>
    <t>Строительный мусор и масса возвратных материалов</t>
  </si>
  <si>
    <t>т</t>
  </si>
  <si>
    <t>14</t>
  </si>
  <si>
    <t>65-4-1</t>
  </si>
  <si>
    <t>Демонтаж умывальников и раковин</t>
  </si>
  <si>
    <t>ФЕРр-2001, 65-4-1, приказ Минстроя России №1039/пр от 30.12.2016г.</t>
  </si>
  <si>
    <t>15</t>
  </si>
  <si>
    <t>65-1-1</t>
  </si>
  <si>
    <t>Разборка трубопроводов из водогазопроводных труб диаметром до 32 мм</t>
  </si>
  <si>
    <t>ФЕРр-2001, 65-1-1, приказ Минстроя России №1039/пр от 30.12.2016г.</t>
  </si>
  <si>
    <t>*0</t>
  </si>
  <si>
    <t>16</t>
  </si>
  <si>
    <t>57-2-3</t>
  </si>
  <si>
    <t>Разборка покрытий полов из керамических плиток</t>
  </si>
  <si>
    <t>ФЕРр-2001, 57-2-3,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</si>
  <si>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</si>
  <si>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</si>
  <si>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</si>
  <si>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</si>
  <si>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</si>
  <si>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</si>
  <si>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</si>
  <si>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</si>
  <si>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</si>
  <si>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</si>
  <si>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</si>
  <si>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</si>
  <si>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</si>
  <si>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</si>
  <si>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</si>
  <si>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</si>
  <si>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</si>
  <si>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</si>
  <si>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</si>
  <si>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</si>
  <si>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</si>
  <si>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</si>
  <si>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</si>
  <si>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</si>
  <si>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</si>
  <si>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</si>
  <si>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</si>
  <si>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</si>
  <si>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</si>
  <si>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</si>
  <si>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</si>
  <si>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</si>
  <si>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</si>
  <si>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</si>
  <si>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</si>
  <si>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</si>
  <si>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</si>
  <si>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</si>
  <si>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</si>
  <si>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</si>
  <si>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</si>
  <si>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</si>
  <si>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</si>
  <si>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</si>
  <si>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</si>
  <si>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</si>
  <si>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</si>
  <si>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</si>
  <si>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</si>
  <si>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</si>
  <si>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</si>
  <si>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</si>
  <si>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17</t>
  </si>
  <si>
    <t>10-01-039-01</t>
  </si>
  <si>
    <t>Установка блоков в наружных и внутренних дверных проемах в каменных стенах, площадь проема до 3 м2</t>
  </si>
  <si>
    <t>ФЕР-2001, 10-01-039-01, приказ Минстроя России №1039/пр от 30.12.2016г.</t>
  </si>
  <si>
    <t>)*1,25)*1,2</t>
  </si>
  <si>
    <t>)*1,15)*1,2</t>
  </si>
  <si>
    <t>Деревянные конструкции</t>
  </si>
  <si>
    <t>ФЕР-10</t>
  </si>
  <si>
    <t>Поправка: МДС 81-35.2004, п.4.7  Поправка: МДС 81-35.2004, прил.1, т.1, п.2</t>
  </si>
  <si>
    <t>17,1</t>
  </si>
  <si>
    <t>01.7.04.11</t>
  </si>
  <si>
    <t>Скобяные изделия</t>
  </si>
  <si>
    <t>компл.</t>
  </si>
  <si>
    <t>17,2</t>
  </si>
  <si>
    <t>01.7.04.07-0011</t>
  </si>
  <si>
    <t>Скобяные изделия для блоков входных однопольных</t>
  </si>
  <si>
    <t>ФССЦ-2001, 01.7.04.07-0011, приказ Минстроя России №1039/пр от 30.12.2016г.</t>
  </si>
  <si>
    <t>17,3</t>
  </si>
  <si>
    <t>11.2.02.01</t>
  </si>
  <si>
    <t>Блоки дверные</t>
  </si>
  <si>
    <t>м2</t>
  </si>
  <si>
    <t>17,4</t>
  </si>
  <si>
    <t>11.2.02.01-0032</t>
  </si>
  <si>
    <t>Блоки дверные внутренние однопольные глухие шлифованные, из массива сосны, тонированные</t>
  </si>
  <si>
    <t>ФССЦ-2001, 11.2.02.01-0032, приказ Минстроя России №1039/пр от 30.12.2016г.</t>
  </si>
  <si>
    <t>18</t>
  </si>
  <si>
    <t>10-01-060-01</t>
  </si>
  <si>
    <t>Установка и крепление наличников</t>
  </si>
  <si>
    <t>ФЕР-2001, 10-01-060-01, приказ Минстроя России №1039/пр от 30.12.2016г.</t>
  </si>
  <si>
    <t>18,1</t>
  </si>
  <si>
    <t>11.1.01.10</t>
  </si>
  <si>
    <t>Наличники</t>
  </si>
  <si>
    <t>м</t>
  </si>
  <si>
    <t>18,2</t>
  </si>
  <si>
    <t>11.1.01.10-0003</t>
  </si>
  <si>
    <t>Наличники из древесины типа Н-1, Н-2 размером 13х54 мм</t>
  </si>
  <si>
    <t>ФССЦ-2001, 11.1.01.10-0003, приказ Минстроя России №1039/пр от 30.12.2016г.</t>
  </si>
  <si>
    <t>19</t>
  </si>
  <si>
    <t>61-2-7</t>
  </si>
  <si>
    <t>Ремонт штукатурки внутренних стен по камню и бетону цементно-известковым раствором, площадью отдельных мест до 1 м2 толщиной слоя до 20 мм</t>
  </si>
  <si>
    <t>ФЕРр-2001, 61-2-7, приказ Минстроя России №1039/пр от 30.12.2016г.</t>
  </si>
  <si>
    <t>Штукатрурные работы</t>
  </si>
  <si>
    <t>рФЕР-61</t>
  </si>
  <si>
    <t>20</t>
  </si>
  <si>
    <t>62-42-1</t>
  </si>
  <si>
    <t>Протравка цементной штукатурки нейтрализующим раствором</t>
  </si>
  <si>
    <t>ФЕРр-2001, 62-42-1, приказ Минстроя России №1039/пр от 30.12.2016г.</t>
  </si>
  <si>
    <t>Малярные работы</t>
  </si>
  <si>
    <t>рФЕР-62</t>
  </si>
  <si>
    <t>21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</si>
  <si>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</si>
  <si>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</si>
  <si>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</si>
  <si>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Отделочные работы</t>
  </si>
  <si>
    <t>ФЕР-15</t>
  </si>
  <si>
    <t>21,1</t>
  </si>
  <si>
    <t>14.4.01.21</t>
  </si>
  <si>
    <t>Грунтовка</t>
  </si>
  <si>
    <t>21,2</t>
  </si>
  <si>
    <t>14.4.01.02-0201</t>
  </si>
  <si>
    <t>Грунтовка: акриловая упрочняющая стабилизирующая глубокого проникновения "БИРСС Грунт М"</t>
  </si>
  <si>
    <t>ФССЦ-2001, 14.4.01.02-0201, приказ Минстроя России №1039/пр от 30.12.2016г.</t>
  </si>
  <si>
    <t>22</t>
  </si>
  <si>
    <t>62-17-4</t>
  </si>
  <si>
    <t>Окрашивание водоэмульсионными составами поверхностей потолков, ранее окрашенных водоэмульсионной краской, с расчисткой старой краски более 35%</t>
  </si>
  <si>
    <t>ФЕРр-2001, 62-17-4, приказ Минстроя России №1039/пр от 30.12.2016г.</t>
  </si>
  <si>
    <t>22,1</t>
  </si>
  <si>
    <t>14.3.02.01</t>
  </si>
  <si>
    <t>Краска водоэмульсионная</t>
  </si>
  <si>
    <t>22,2</t>
  </si>
  <si>
    <t>14.3.02.01-0224</t>
  </si>
  <si>
    <t>Краска водоэмульсионная для внутренних работ ВАК-25</t>
  </si>
  <si>
    <t>ФССЦ-2001, 14.3.02.01-0224, приказ Минстроя России №1039/пр от 30.12.2016г.</t>
  </si>
  <si>
    <t>23</t>
  </si>
  <si>
    <t>62-16-5</t>
  </si>
  <si>
    <t>Окрашивание водоэмульсионными составами поверхностей стен, ранее окрашенных масляной краской с расчисткой старой краски более 35%</t>
  </si>
  <si>
    <t>ФЕРр-2001, 62-16-5, приказ Минстроя России №1039/пр от 30.12.2016г.</t>
  </si>
  <si>
    <t>23,1</t>
  </si>
  <si>
    <t>23,2</t>
  </si>
  <si>
    <t>24</t>
  </si>
  <si>
    <t>Устройство стяжек цементных толщиной 20 мм</t>
  </si>
  <si>
    <t>24,1</t>
  </si>
  <si>
    <t>04.3.01.09</t>
  </si>
  <si>
    <t>Раствор готовый кладочный тяжелый цементный</t>
  </si>
  <si>
    <t>м3</t>
  </si>
  <si>
    <t>24,2</t>
  </si>
  <si>
    <t>04.3.01.09-0017</t>
  </si>
  <si>
    <t>Раствор готовый кладочный цементный</t>
  </si>
  <si>
    <t>ФССЦ-2001, 04.3.01.09-0017, приказ Минстроя России №1039/пр от 30.12.2016г.</t>
  </si>
  <si>
    <t>25</t>
  </si>
  <si>
    <t>11-01-011-09</t>
  </si>
  <si>
    <t>Устройство стяжек из выравнивающей смеси типа "Ветонит" 3000, толщиной 3 мм</t>
  </si>
  <si>
    <t>ФЕР-2001, 11-01-011-09, приказ Минстроя России №1039/пр от 30.12.2016г.</t>
  </si>
  <si>
    <t>26</t>
  </si>
  <si>
    <t>11-01-036-04</t>
  </si>
  <si>
    <t>Устройство покрытий из линолеума насухо со свариванием полотнищ в стыках</t>
  </si>
  <si>
    <t>ФЕР-2001, 11-01-036-04, приказ Минстроя России №1039/пр от 30.12.2016г.</t>
  </si>
  <si>
    <t>26,1</t>
  </si>
  <si>
    <t>01.6.03.04</t>
  </si>
  <si>
    <t>Линолеум на теплозвукоизолирующей подоснове</t>
  </si>
  <si>
    <t>26,2</t>
  </si>
  <si>
    <t>01.6.03.04-0115</t>
  </si>
  <si>
    <t>Линолеум коммерческий гомогенный "ТАРКЕТТ iQ GRANIT ACOUSTIC", акустический (толщина 2 мм, класс 34/43, пож. безопасность Г4, В3, РП2, Д2, Т2) прим.</t>
  </si>
  <si>
    <t>ФССЦ-2001, 01.6.03.04-0115, приказ Минстроя России №1039/пр от 30.12.2016г.</t>
  </si>
  <si>
    <t>26,3</t>
  </si>
  <si>
    <t>01.7.06.14-0034</t>
  </si>
  <si>
    <t>Лента полимерная (фторопластовая) для сварки линолеума</t>
  </si>
  <si>
    <t>ФССЦ-2001, 01.7.06.14-0034, приказ Минстроя России №1039/пр от 30.12.2016г.</t>
  </si>
  <si>
    <t>26,4</t>
  </si>
  <si>
    <t>01.7.06.03</t>
  </si>
  <si>
    <t>Лента полимерная</t>
  </si>
  <si>
    <t>27</t>
  </si>
  <si>
    <t>11-01-027-06</t>
  </si>
  <si>
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</si>
  <si>
    <t>ФЕР-2001, 11-01-027-06, приказ Минстроя России №1039/пр от 30.12.2016г.</t>
  </si>
  <si>
    <t>27,1</t>
  </si>
  <si>
    <t>06.2.02.01-0071</t>
  </si>
  <si>
    <t>Плитки керамические для полов гладкие неглазурованные одноцветные с красителем квадратные и прямоугольные</t>
  </si>
  <si>
    <t>ФССЦ-2001, 06.2.02.01-0071, приказ Минстроя России №1039/пр от 30.12.2016г.</t>
  </si>
  <si>
    <t>27,2</t>
  </si>
  <si>
    <t>06.2.02.01-0082</t>
  </si>
  <si>
    <t>Плитки керамические для полов рельефные глазурованные, декорированные методом сериографии, квадратные и прямоугольные с многоцветным рисунком толщиной 13 мм</t>
  </si>
  <si>
    <t>ФССЦ-2001, 06.2.02.01-0082, приказ Минстроя России №1039/пр от 30.12.2016г.</t>
  </si>
  <si>
    <t>27,3</t>
  </si>
  <si>
    <t>14.1.06.02-0008</t>
  </si>
  <si>
    <t>Клей для плитки Ветонит "Быстросхватывающийся клей для ремонтных работ"</t>
  </si>
  <si>
    <t>ФССЦ-2001, 14.1.06.02-0008, приказ Минстроя России №1039/пр от 30.12.2016г.</t>
  </si>
  <si>
    <t>27,4</t>
  </si>
  <si>
    <t>14.1.06.02-0037</t>
  </si>
  <si>
    <t>Клей плиточный «Старатель-стандарт»</t>
  </si>
  <si>
    <t>кг</t>
  </si>
  <si>
    <t>ФССЦ-2001, 14.1.06.02-0037, приказ Минстроя России №1039/пр от 30.12.2016г.</t>
  </si>
  <si>
    <t>28</t>
  </si>
  <si>
    <t>11-01-039-04</t>
  </si>
  <si>
    <t>Устройство плинтусов из плиток керамических</t>
  </si>
  <si>
    <t>ФЕР-2001, 11-01-039-04, приказ Минстроя России №1039/пр от 30.12.2016г.</t>
  </si>
  <si>
    <t>28,1</t>
  </si>
  <si>
    <t>28,2</t>
  </si>
  <si>
    <t>28,3</t>
  </si>
  <si>
    <t>06.2.05.03</t>
  </si>
  <si>
    <t>Плитки керамические плинтусные</t>
  </si>
  <si>
    <t>28,4</t>
  </si>
  <si>
    <t>06.2.05.03-0031</t>
  </si>
  <si>
    <t>Плитки керамические плинтусные прямые</t>
  </si>
  <si>
    <t>ФССЦ-2001, 06.2.05.03-0031, приказ Минстроя России №1039/пр от 30.12.2016г.</t>
  </si>
  <si>
    <t>29</t>
  </si>
  <si>
    <t>11-01-040-03</t>
  </si>
  <si>
    <t>Устройство плинтусов поливинилхлоридных на винтах самонарезающих</t>
  </si>
  <si>
    <t>ФЕР-2001, 11-01-040-03, приказ Минстроя России №1039/пр от 30.12.2016г.</t>
  </si>
  <si>
    <t>29,1</t>
  </si>
  <si>
    <t>11.3.03.06-0001</t>
  </si>
  <si>
    <t>Плинтуса для полов пластиковые, 19х48 мм</t>
  </si>
  <si>
    <t>ФССЦ-2001, 11.3.03.06-0001, приказ Минстроя России №1039/пр от 30.12.2016г.</t>
  </si>
  <si>
    <t>29,2</t>
  </si>
  <si>
    <t>11.3.03.14-0001</t>
  </si>
  <si>
    <t>Заглушка торцевая для пластикового плинтуса левая, высота 48 мм</t>
  </si>
  <si>
    <t>100 шт.</t>
  </si>
  <si>
    <t>ФССЦ-2001, 11.3.03.14-0001, приказ Минстроя России №1039/пр от 30.12.2016г.</t>
  </si>
  <si>
    <t>29,3</t>
  </si>
  <si>
    <t>11.3.03.14-0011</t>
  </si>
  <si>
    <t>Заглушки торцевая для пластикового плинтуса правая, высота 48 мм</t>
  </si>
  <si>
    <t>ФССЦ-2001, 11.3.03.14-0011, приказ Минстроя России №1039/пр от 30.12.2016г.</t>
  </si>
  <si>
    <t>29,4</t>
  </si>
  <si>
    <t>11.3.03.14-0021</t>
  </si>
  <si>
    <t>Соединитель для пластикового плинтуса, высота 48 мм</t>
  </si>
  <si>
    <t>ФССЦ-2001, 11.3.03.14-0021, приказ Минстроя России №1039/пр от 30.12.2016г.</t>
  </si>
  <si>
    <t>29,5</t>
  </si>
  <si>
    <t>11.3.03.14-0031</t>
  </si>
  <si>
    <t>Уголок внутренний для пластикового плинтуса, высота 48 мм</t>
  </si>
  <si>
    <t>ФССЦ-2001, 11.3.03.14-0031, приказ Минстроя России №1039/пр от 30.12.2016г.</t>
  </si>
  <si>
    <t>29,6</t>
  </si>
  <si>
    <t>11.3.03.14-0033</t>
  </si>
  <si>
    <t>Уголок наружный для пластикового плинтуса, высота 48 мм</t>
  </si>
  <si>
    <t>ФССЦ-2001, 11.3.03.14-0033, приказ Минстроя России №1039/пр от 30.12.2016г.</t>
  </si>
  <si>
    <t>29,7</t>
  </si>
  <si>
    <t>11.3.03.06</t>
  </si>
  <si>
    <t>Плинтуса для полов пластиковые</t>
  </si>
  <si>
    <t>29,8</t>
  </si>
  <si>
    <t>11.3.03.14</t>
  </si>
  <si>
    <t>Уголок наружный для пластикового плинтуса</t>
  </si>
  <si>
    <t>шт.</t>
  </si>
  <si>
    <t>29,9</t>
  </si>
  <si>
    <t>Уголок внутренний для пластикового плинтуса</t>
  </si>
  <si>
    <t>29,10</t>
  </si>
  <si>
    <t>Соединитель для пластикового плинтуса</t>
  </si>
  <si>
    <t>29,11</t>
  </si>
  <si>
    <t>Заглушка торцевая для пластикового плинтуса левая</t>
  </si>
  <si>
    <t>29,12</t>
  </si>
  <si>
    <t>Заглушка торцевая для пластикового плинтуса правая</t>
  </si>
  <si>
    <t>30</t>
  </si>
  <si>
    <t>15-01-019-05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</si>
  <si>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t>
  </si>
  <si>
    <t>ФЕР-2001, 15-01-019-05, приказ Минстроя России №1039/пр от 30.12.2016г.</t>
  </si>
  <si>
    <t>30,1</t>
  </si>
  <si>
    <t>04.3.02.09</t>
  </si>
  <si>
    <t>Смесь сухая для заделки швов</t>
  </si>
  <si>
    <t>30,2</t>
  </si>
  <si>
    <t>06.2.05.04</t>
  </si>
  <si>
    <t>Плитки рядовые</t>
  </si>
  <si>
    <t>30,3</t>
  </si>
  <si>
    <t>06.2.01.02-0016</t>
  </si>
  <si>
    <t>Плитки керамические глазурованные для внутренней облицовки стен гладкие цветные с рисунком многоцветные без завала ((прим.)</t>
  </si>
  <si>
    <t>ФССЦ-2001, 06.2.01.02-0016, приказ Минстроя России №1039/пр от 30.12.2016г.</t>
  </si>
  <si>
    <t>30,4</t>
  </si>
  <si>
    <t>14.1.06.02</t>
  </si>
  <si>
    <t>Клей для облицовочных работ (сухая смесь)</t>
  </si>
  <si>
    <t>30,5</t>
  </si>
  <si>
    <t>31</t>
  </si>
  <si>
    <t>10-05-002-01 прим.</t>
  </si>
  <si>
    <t>Устройство перегородок из гипсокартонных листов (ГКЛ) по системе «КНАУФ» с одинарным металлическим каркасом и двухслойной обшивкой с обеих сторон (С 112) глухих (короб)</t>
  </si>
  <si>
    <t>ФЕР-2001, 10-05-002-01, приказ Минстроя России №1039/пр от 30.12.2016г.</t>
  </si>
  <si>
    <t>31,1</t>
  </si>
  <si>
    <t>01.6.01.02</t>
  </si>
  <si>
    <t>Листы гипсокартонные</t>
  </si>
  <si>
    <t>31,2</t>
  </si>
  <si>
    <t>01.6.01.02-0008</t>
  </si>
  <si>
    <t>Листы гипсокартонные ГКЛВ 12,5 мм</t>
  </si>
  <si>
    <t>ФССЦ-2001, 01.6.01.02-0008, приказ Минстроя России №1039/пр от 30.12.2016г.</t>
  </si>
  <si>
    <t>31,3</t>
  </si>
  <si>
    <t>01.7.06.01-0042</t>
  </si>
  <si>
    <t>Лента эластичная самоклеящаяся для профилей направляющих «Дихтунгсбанд» 50/30000 мм</t>
  </si>
  <si>
    <t>ФССЦ-2001, 01.7.06.01-0042, приказ Минстроя России №1039/пр от 30.12.2016г.</t>
  </si>
  <si>
    <t>31,4</t>
  </si>
  <si>
    <t>01.7.06.11</t>
  </si>
  <si>
    <t>Лента уплотнительная типа Дихтунгсбанд</t>
  </si>
  <si>
    <t>31,5</t>
  </si>
  <si>
    <t>07.2.06.03</t>
  </si>
  <si>
    <t>Профиль направляющий</t>
  </si>
  <si>
    <t>31,6</t>
  </si>
  <si>
    <t>07.2.06.03-0112</t>
  </si>
  <si>
    <t>Профиль направляющий ПН-2 50</t>
  </si>
  <si>
    <t>ФССЦ-2001, 07.2.06.03-0112, приказ Минстроя России №1039/пр от 30.12.2016г.</t>
  </si>
  <si>
    <t>31,7</t>
  </si>
  <si>
    <t>07.2.06.03-0196</t>
  </si>
  <si>
    <t>Профиль стоечный ПС-3 65</t>
  </si>
  <si>
    <t>ФССЦ-2001, 07.2.06.03-0196, приказ Минстроя России №1039/пр от 30.12.2016г.</t>
  </si>
  <si>
    <t>31,8</t>
  </si>
  <si>
    <t>Профиль стоечный</t>
  </si>
  <si>
    <t>32</t>
  </si>
  <si>
    <t>62-33-2</t>
  </si>
  <si>
    <t>Окраска масляными составами ранее окрашенных поверхностей радиаторов и ребристых труб отопления за 2 раза</t>
  </si>
  <si>
    <t>ФЕРр-2001, 62-33-2, приказ Минстроя России №1039/пр от 30.12.2016г.</t>
  </si>
  <si>
    <t>32,1</t>
  </si>
  <si>
    <t>14.4.02.04</t>
  </si>
  <si>
    <t>Краски для внутренних работ масляные готовые к применению</t>
  </si>
  <si>
    <t>32,2</t>
  </si>
  <si>
    <t>14.4.02.04-0101</t>
  </si>
  <si>
    <t>Краски для внутренних работ масляные готовые к применению МА-15 БИО</t>
  </si>
  <si>
    <t>ФССЦ-2001, 14.4.02.04-0101, приказ Минстроя России №1039/пр от 30.12.2016г.</t>
  </si>
  <si>
    <t>33</t>
  </si>
  <si>
    <t>13-03-004-26</t>
  </si>
  <si>
    <t>Окраска металлических огрунтованных поверхностей эмалью ПФ-115</t>
  </si>
  <si>
    <t>ФЕР-2001, 13-03-004-26, приказ Минстроя России №1039/пр от 30.12.2016г.</t>
  </si>
  <si>
    <t>Защита строительных конструкций</t>
  </si>
  <si>
    <t>ФЕР-13</t>
  </si>
  <si>
    <t>34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</si>
  <si>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</si>
  <si>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</si>
  <si>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</si>
  <si>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</si>
  <si>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</si>
  <si>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</si>
  <si>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</si>
  <si>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35</t>
  </si>
  <si>
    <t>т03-01-01-050</t>
  </si>
  <si>
    <t>Перевозка грузов I класса автомобилями бортовыми грузоподъемностью до 15 т на расстояние до 50 км</t>
  </si>
  <si>
    <t>ФССЦпг-2001, т03-01-01-050,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</si>
  <si>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</si>
  <si>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</si>
  <si>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</si>
  <si>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36</t>
  </si>
  <si>
    <t>Громкоговоритель или звуковая колонка в помещении (ранее демонтированные)</t>
  </si>
  <si>
    <t>Поправка: МДС 81-35.2004, прил.1, т.2, п.1  Наименование: 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</si>
  <si>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)*1,2</t>
  </si>
  <si>
    <t>Поправка: МДС 81-35.2004, прил.1, т.2, п.1</t>
  </si>
  <si>
    <t>37</t>
  </si>
  <si>
    <t>Извещатель ПС автоматический тепловой электро-контактный, магнитоконтактный в нормальном исполнении (ранее демонтированые)</t>
  </si>
  <si>
    <t>38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</si>
  <si>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</si>
  <si>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</si>
  <si>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</si>
  <si>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38,1</t>
  </si>
  <si>
    <t>24.3.01.02-0021</t>
  </si>
  <si>
    <t>Трубы гибкие гофрированные легкие из самозатухающего ПВХ (IP55) серии FL, с зондом, диаметром 16 мм</t>
  </si>
  <si>
    <t>10 м</t>
  </si>
  <si>
    <t>ФССЦ-2001, 24.3.01.02-0021, приказ Минстроя России №1039/пр от 30.12.2016г.</t>
  </si>
  <si>
    <t>39</t>
  </si>
  <si>
    <t>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</si>
  <si>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</si>
  <si>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ФЕРм-2001, м08-02-412-03, приказ Минстроя России №1039/пр от 30.12.2016г.</t>
  </si>
  <si>
    <t>39,1</t>
  </si>
  <si>
    <t>21.1.06.09-0152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</si>
  <si>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t>
  </si>
  <si>
    <t>1000 м</t>
  </si>
  <si>
    <t>ФССЦ-2001, 21.1.06.09-0152, приказ Минстроя России №1039/пр от 30.12.2016г.</t>
  </si>
  <si>
    <t>1000 М</t>
  </si>
  <si>
    <t>40</t>
  </si>
  <si>
    <t>м08-02-390-03</t>
  </si>
  <si>
    <t>Короба пластмассовые шириной до 120 мм</t>
  </si>
  <si>
    <t>ФЕРм-2001, м08-02-390-03, приказ Минстроя России №1039/пр от 30.12.2016г.</t>
  </si>
  <si>
    <t>40,1</t>
  </si>
  <si>
    <t>20.2.05.04-0014</t>
  </si>
  <si>
    <t>Кабель-канал (короб) "Legrand" 40х100 мм</t>
  </si>
  <si>
    <t>ФССЦ-2001, 20.2.05.04-0014, приказ Минстроя России №1039/пр от 30.12.2016г.</t>
  </si>
  <si>
    <t>41</t>
  </si>
  <si>
    <t>Короба пластмассовые шириной до 40 мм</t>
  </si>
  <si>
    <t>41,1</t>
  </si>
  <si>
    <t>20.2.05.04-0011</t>
  </si>
  <si>
    <t>Кабель-канал (короб) "Legrand" 20х10 мм прим.</t>
  </si>
  <si>
    <t>ФССЦ-2001, 20.2.05.04-0011, приказ Минстроя России №1039/пр от 30.12.2016г.</t>
  </si>
  <si>
    <t>42</t>
  </si>
  <si>
    <t>м08-02-399-02</t>
  </si>
  <si>
    <t>Провод в коробах, сечением до 35 мм2</t>
  </si>
  <si>
    <t>ФЕРм-2001, м08-02-399-02, приказ Минстроя России №1039/пр от 30.12.2016г.</t>
  </si>
  <si>
    <t>42,1</t>
  </si>
  <si>
    <t>43</t>
  </si>
  <si>
    <t>м08-02-399-01</t>
  </si>
  <si>
    <t>Провод в коробах, сечением до 6 мм2</t>
  </si>
  <si>
    <t>ФЕРм-2001, м08-02-399-01, приказ Минстроя России №1039/пр от 30.12.2016г.</t>
  </si>
  <si>
    <t>43,1</t>
  </si>
  <si>
    <t>21.1.04.01-0004</t>
  </si>
  <si>
    <t>Кабель (витая пара) UTP 4x2x0,52 категория 5е</t>
  </si>
  <si>
    <t>ФССЦ-2001, 21.1.04.01-0004, приказ Минстроя России №1039/пр от 30.12.2016г.</t>
  </si>
  <si>
    <t>44</t>
  </si>
  <si>
    <t>м08-03-591-08</t>
  </si>
  <si>
    <t>Розетка штепсельная неутопленного типа при открытой проводке</t>
  </si>
  <si>
    <t>ФЕРм-2001, м08-03-591-08, приказ Минстроя России №1039/пр от 30.12.2016г.</t>
  </si>
  <si>
    <t>44,1</t>
  </si>
  <si>
    <t>20.4.03.04-0005</t>
  </si>
  <si>
    <t>Розетка кабельная трехфазная 3P+PE+N, 32А, 415В, IP44</t>
  </si>
  <si>
    <t>ФССЦ-2001, 20.4.03.04-0005, приказ Минстроя России №1039/пр от 30.12.2016г.</t>
  </si>
  <si>
    <t>44,2</t>
  </si>
  <si>
    <t>20.4.03.05-0002</t>
  </si>
  <si>
    <t>Розетка открытой проводки двухгнездная (UTP )</t>
  </si>
  <si>
    <t>ФССЦ-2001, 20.4.03.05-0002, приказ Минстроя России №1039/пр от 30.12.2016г.</t>
  </si>
  <si>
    <t>45</t>
  </si>
  <si>
    <t>м08-03-591-04</t>
  </si>
  <si>
    <t>Выключатель двухклавишный неутопленного типа при открытой проводке</t>
  </si>
  <si>
    <t>ФЕРм-2001, м08-03-591-04, приказ Минстроя России №1039/пр от 30.12.2016г.</t>
  </si>
  <si>
    <t>45,1</t>
  </si>
  <si>
    <t>20.4.01.01-0001</t>
  </si>
  <si>
    <t>Выключатель двухклавишный для открытой проводки</t>
  </si>
  <si>
    <t>10 шт.</t>
  </si>
  <si>
    <t>ФССЦ-2001, 20.4.01.01-0001, приказ Минстроя России №1039/пр от 30.12.2016г.</t>
  </si>
  <si>
    <t>46</t>
  </si>
  <si>
    <t>69-1-3</t>
  </si>
  <si>
    <t>Пробивка отверстий в кирпичных стенах  вручную  диам.30мм.</t>
  </si>
  <si>
    <t>ФЕР-2001, 69-1-3, приказ Минстроя России №1039/пр от 30.12.2016г.</t>
  </si>
  <si>
    <t>Прочие ремонтно-строительные работы</t>
  </si>
  <si>
    <t>рФЕР-69</t>
  </si>
  <si>
    <t>47</t>
  </si>
  <si>
    <t>м08-02-409-01</t>
  </si>
  <si>
    <t>Прокладка  гильз из трубы ПНД, диаметр до 30 мм</t>
  </si>
  <si>
    <t>ФЕРм-2001, м08-02-409-01, приказ Минстроя России №1039/пр от 30.12.2016г.</t>
  </si>
  <si>
    <t>Поправка: Прил.2, Табл.2, п. 1.1</t>
  </si>
  <si>
    <t>47,1</t>
  </si>
  <si>
    <t>24.3.01.03-0023</t>
  </si>
  <si>
    <t>Трубы жесткие гладкие тяжелые из самозатухающего ПВХ (IP55) серии RIG, диаметром 25 мм</t>
  </si>
  <si>
    <t>ФССЦ-2001, 24.3.01.03-0023, приказ Минстроя России №1039/пр от 30.12.2016г.</t>
  </si>
  <si>
    <t>48</t>
  </si>
  <si>
    <t>м08-03-594-08</t>
  </si>
  <si>
    <t>Установка светильников  отдельно устанавливаемый на подвесах (штангах) (светодиодных ранее демонтированых)</t>
  </si>
  <si>
    <t>ФЕРм-2001, м08-03-594-08, приказ Минстроя России №1039/пр от 30.12.2016г.</t>
  </si>
  <si>
    <t>49</t>
  </si>
  <si>
    <t>м08-02-370-02 прим.</t>
  </si>
  <si>
    <t>Щиток до трех групп, устанавливаемый в нише цоколя (бокс)</t>
  </si>
  <si>
    <t>49,1</t>
  </si>
  <si>
    <t>22.1.01.02-0003</t>
  </si>
  <si>
    <t>Бокс ЩРН-9 навесной (250х350х120)</t>
  </si>
  <si>
    <t>ФССЦ-2001, 22.1.01.02-0003, приказ Минстроя России №1039/пр от 30.12.2016г.</t>
  </si>
  <si>
    <t>50</t>
  </si>
  <si>
    <t>м08-03-526-01</t>
  </si>
  <si>
    <t>Автомат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</si>
  <si>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</si>
  <si>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50,1</t>
  </si>
  <si>
    <t>62.1.01.09-0083</t>
  </si>
  <si>
    <t>Выключатели автоматические «АВВ» серии LR 2Р 25А прим.</t>
  </si>
  <si>
    <t>ФССЦ-2001, 62.1.01.09-0083, приказ Минстроя России №1039/пр от 30.12.2016г.</t>
  </si>
  <si>
    <t>50,2</t>
  </si>
  <si>
    <t>62.1.01.09-0074</t>
  </si>
  <si>
    <t>Выключатели автоматические «АВВ» серии LR 1Р 16А прим.</t>
  </si>
  <si>
    <t>ФССЦ-2001, 62.1.01.09-0074, приказ Минстроя России №1039/пр от 30.12.2016г.</t>
  </si>
  <si>
    <t>50,3</t>
  </si>
  <si>
    <t>62.1.01.09-0073</t>
  </si>
  <si>
    <t>Выключатели автоматические «АВВ» серии LR 1Р 20А прим.</t>
  </si>
  <si>
    <t>ФССЦ-2001, 62.1.01.09-0073, приказ Минстроя России №1039/пр от 30.12.2016г.</t>
  </si>
  <si>
    <t>Пусконаладочные работы</t>
  </si>
  <si>
    <t>51</t>
  </si>
  <si>
    <t>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</si>
  <si>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</si>
  <si>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ФЕРп-2001, п01-11-028-01, приказ Минстроя России №1039/пр от 30.12.2016г.</t>
  </si>
  <si>
    <t>Поправка: МДС 81-40.2006, п.2.7  Наименование: В случае, если монтажные и пусконаладочные работы по какому-либо оборудованию выполняются одним и тем же звеном (бригадой),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</si>
  <si>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</si>
  <si>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</si>
  <si>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Поправка: МДС 81-40.2006, п.2.7</t>
  </si>
  <si>
    <t>52</t>
  </si>
  <si>
    <t>п01-12-021-01</t>
  </si>
  <si>
    <t>Испытание аппарата коммутационного напряжением до 1 кВ (силовых цепей)</t>
  </si>
  <si>
    <t>испытание</t>
  </si>
  <si>
    <t>ФЕРп-2001, п01-12-021-01, приказ Минстроя России №1039/пр от 30.12.2016г.</t>
  </si>
  <si>
    <t>53</t>
  </si>
  <si>
    <t>п01-11-013-01</t>
  </si>
  <si>
    <t>Замер полного сопротивления цепи "фаза-нуль"</t>
  </si>
  <si>
    <t>ФЕРп-2001, п01-11-013-01, приказ Минстроя России №1039/пр от 30.12.2016г.</t>
  </si>
  <si>
    <t>Сантехнические работы</t>
  </si>
  <si>
    <t>54</t>
  </si>
  <si>
    <t>17-01-005-04</t>
  </si>
  <si>
    <t>Установка раковин</t>
  </si>
  <si>
    <t>10 компл</t>
  </si>
  <si>
    <t>ФЕР-2001, 17-01-005-04, приказ Минстроя России №1039/пр от 30.12.2016г.</t>
  </si>
  <si>
    <t>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</si>
  <si>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Водопровод и канализация - внутренние устройства</t>
  </si>
  <si>
    <t>ФЕР-17</t>
  </si>
  <si>
    <t>Поправка: МДС 81-35.2004, прил.1, т.1, п.2</t>
  </si>
  <si>
    <t>54,1</t>
  </si>
  <si>
    <t>18.2.01.05-0088</t>
  </si>
  <si>
    <t>Умывальники полуфарфоровые и фарфоровые с кронштейнами, сифоном бутылочным латунным и выпуском, трапециевидные со встроенными установочными поверхностями без спинки размером 700х600х150 мм</t>
  </si>
  <si>
    <t>ФССЦ-2001, 18.2.01.05-0088, приказ Минстроя России №1039/пр от 30.12.2016г.</t>
  </si>
  <si>
    <t>54,2</t>
  </si>
  <si>
    <t>18.2.06.12</t>
  </si>
  <si>
    <t>Приборы санитарно-технические</t>
  </si>
  <si>
    <t>55</t>
  </si>
  <si>
    <t>17-01-002-03</t>
  </si>
  <si>
    <t>Установка смесителей</t>
  </si>
  <si>
    <t>10 ШТ</t>
  </si>
  <si>
    <t>ФЕР-2001, 17-01-002-03, приказ Минстроя России №1039/пр от 30.12.2016г.</t>
  </si>
  <si>
    <t>55,1</t>
  </si>
  <si>
    <t>18.1.10.10-0046</t>
  </si>
  <si>
    <t>Смесители для умывальников СМ-УМ-ЦА-УВ центральные, с аэратором, латунными маховичками</t>
  </si>
  <si>
    <t>ФССЦ-2001, 18.1.10.10-0046, приказ Минстроя России №1039/пр от 30.12.2016г.</t>
  </si>
  <si>
    <t>55,2</t>
  </si>
  <si>
    <t>18.1.10.10</t>
  </si>
  <si>
    <t>Смесители</t>
  </si>
  <si>
    <t>56</t>
  </si>
  <si>
    <t>16-04-005-01</t>
  </si>
  <si>
    <t>Прокладка внутренних трубопроводов водоснабжения и отопления из полипропиленовых труб до 20 мм</t>
  </si>
  <si>
    <t>ФЕР-2001, 16-04-005-01, приказ Минстроя России №886/пр от 15.06.2017</t>
  </si>
  <si>
    <t>Трубопроводы внутренние</t>
  </si>
  <si>
    <t>ФЕР-16</t>
  </si>
  <si>
    <t>56,1</t>
  </si>
  <si>
    <t>24.1.02.01-0001</t>
  </si>
  <si>
    <t>Хомут FGRS системы крепежа трубопроводов, размером 12-15 мм</t>
  </si>
  <si>
    <t>ФССЦ-2001, 24.1.02.01-0001, приказ Минстроя России №1039/пр от 30.12.2016г.</t>
  </si>
  <si>
    <t>56,2</t>
  </si>
  <si>
    <t>24.1.02.01</t>
  </si>
  <si>
    <t>Хомуты для крепления труб</t>
  </si>
  <si>
    <t>56,3</t>
  </si>
  <si>
    <t>24.3.02.01-0011</t>
  </si>
  <si>
    <t>Трубопроводы напорные из полипропилена PPRS с гильзами и креплениями для холодного и горячего водоснабжения PN20 SDR 6, диаметром 16 мм, толщина стенки 2,7 мм</t>
  </si>
  <si>
    <t>ФССЦ-2001, 24.3.02.01-0011, приказ Минстроя России №1039/пр от 30.12.2016г.</t>
  </si>
  <si>
    <t>57</t>
  </si>
  <si>
    <t>16-05-001-01</t>
  </si>
  <si>
    <t>Установка вентилей, задвижек, затворов, клапанов обратных, кранов проходных на трубопроводах из стальных труб диаметром до 25 мм</t>
  </si>
  <si>
    <t>ФЕР-2001, 16-05-001-01, приказ Минстроя России №1039/пр от 30.12.2016г.</t>
  </si>
  <si>
    <t>57,1</t>
  </si>
  <si>
    <t>18.1.09.06-0063</t>
  </si>
  <si>
    <t>Кран шаровый муфтовый Valtec для воды диаметром 15 мм, тип в/в</t>
  </si>
  <si>
    <t>ФССЦ-2001, 18.1.09.06-0063, приказ Минстроя России №1039/пр от 30.12.2016г.</t>
  </si>
  <si>
    <t>58</t>
  </si>
  <si>
    <t>м08-03-525-09</t>
  </si>
  <si>
    <t>Аппарат штепсельный общего назначения, устанавливаемый на конструкции на стене или колонне, с контактами силовых цепей на ток до 63 А</t>
  </si>
  <si>
    <t>КОМПЛ</t>
  </si>
  <si>
    <t>ФЕРм-2001, м08-03-525-09, приказ Минстроя России №1039/пр от 30.12.2016г.</t>
  </si>
  <si>
    <t>58,1</t>
  </si>
  <si>
    <t>63.1.01.06-0113</t>
  </si>
  <si>
    <t>Электроводонагреватели накопительные вертикального исполнения, объемом 10л, мощностью 1,25 кВт, размерами 300х400х300 мм прим.</t>
  </si>
  <si>
    <t>ФССЦ-2001, 63.1.01.06-0113, приказ Минстроя России №1039/пр от 30.12.2016г.</t>
  </si>
  <si>
    <t>Итого 1</t>
  </si>
  <si>
    <t>Итого2</t>
  </si>
  <si>
    <t>Итого НДС 18%</t>
  </si>
  <si>
    <t>Итого 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</si>
  <si>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</si>
  <si>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</si>
  <si>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</si>
  <si>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</si>
  <si>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</si>
  <si>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</si>
  <si>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</si>
  <si>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</si>
  <si>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</si>
  <si>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</si>
  <si>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</si>
  <si>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</si>
  <si>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</si>
  <si>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</si>
  <si>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</si>
  <si>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</si>
  <si>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</si>
  <si>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</si>
  <si>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</si>
  <si>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</si>
  <si>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</si>
  <si>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</si>
  <si>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</si>
  <si>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</si>
  <si>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</si>
  <si>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</si>
  <si>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</si>
  <si>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</si>
  <si>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</si>
  <si>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</si>
  <si>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</si>
  <si>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</si>
  <si>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</si>
  <si>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</si>
  <si>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</si>
  <si>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</si>
  <si>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</si>
  <si>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</si>
  <si>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</si>
  <si>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</si>
  <si>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</si>
  <si>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</si>
  <si>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</si>
  <si>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</si>
  <si>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</si>
  <si>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</si>
  <si>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</si>
  <si>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</si>
  <si>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</si>
  <si>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</si>
  <si>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</si>
  <si>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</si>
  <si>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</si>
  <si>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</si>
  <si>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</si>
  <si>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</si>
  <si>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</si>
  <si>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</si>
  <si>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</si>
  <si>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</si>
  <si>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</si>
  <si>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</si>
  <si>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</si>
  <si>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</si>
  <si>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</si>
  <si>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</si>
  <si>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</si>
  <si>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</si>
  <si>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</si>
  <si>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</si>
  <si>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</si>
  <si>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</si>
  <si>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</si>
  <si>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</si>
  <si>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1-100-23</t>
  </si>
  <si>
    <t>Рабочий среднего разряда 2.3</t>
  </si>
  <si>
    <t>1-100-20</t>
  </si>
  <si>
    <t>Рабочий среднего разряда 2</t>
  </si>
  <si>
    <t>1-100-46</t>
  </si>
  <si>
    <t>Рабочий среднего разряда 4.6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</si>
  <si>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</si>
  <si>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</si>
  <si>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</si>
  <si>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</si>
  <si>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</si>
  <si>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</si>
  <si>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</si>
  <si>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</si>
  <si>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</si>
  <si>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</si>
  <si>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</si>
  <si>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</si>
  <si>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</si>
  <si>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</si>
  <si>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</si>
  <si>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999-9950</t>
  </si>
  <si>
    <t>Вспомогательные ненормируемые материалы (2% от ОЗП)</t>
  </si>
  <si>
    <t>РУБ</t>
  </si>
  <si>
    <t>1-100-39</t>
  </si>
  <si>
    <t>Рабочий среднего разряда 3.9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</si>
  <si>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</si>
  <si>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</si>
  <si>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</si>
  <si>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1000 шт.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</si>
  <si>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</si>
  <si>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</si>
  <si>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</si>
  <si>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1-100-40</t>
  </si>
  <si>
    <t>Рабочий среднего разряда 4</t>
  </si>
  <si>
    <t>01.3.05.17-0002</t>
  </si>
  <si>
    <t>ФССЦ-2001, 01.3.05.17-0002, приказ Минстроя России №1039/пр от 30.12.2016г.</t>
  </si>
  <si>
    <t>Канифоль сосновая</t>
  </si>
  <si>
    <t>01.7.15.07-0012</t>
  </si>
  <si>
    <t>ФССЦ-2001, 01.7.15.07-0012, приказ Минстроя России №1039/пр от 30.12.2016г.</t>
  </si>
  <si>
    <t>Дюбели пластмассовые с шурупами 12х70 мм</t>
  </si>
  <si>
    <t>03.1.01.01-0002</t>
  </si>
  <si>
    <t>ФССЦ-2001, 03.1.01.01-0002, приказ Минстроя России №1039/пр от 30.12.2016г.</t>
  </si>
  <si>
    <t>Гипсовые вяжущие, марка Г3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</si>
  <si>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</si>
  <si>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</si>
  <si>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</si>
  <si>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14.1.04.02-0002</t>
  </si>
  <si>
    <t>ФССЦ-2001, 14.1.04.02-0002, приказ Минстроя России №1039/пр от 30.12.2016г.</t>
  </si>
  <si>
    <t>Клей 88-СА</t>
  </si>
  <si>
    <t>1-100-35</t>
  </si>
  <si>
    <t>Рабочий среднего разряда 3.5</t>
  </si>
  <si>
    <t>01.7.06.05-0042</t>
  </si>
  <si>
    <t>ФССЦ-2001, 01.7.06.05-0042, приказ Минстроя России №1039/пр от 30.12.2016г.</t>
  </si>
  <si>
    <t>Лента липкая изоляционная на поликасиновом компаунде марки ЛСЭПЛ, шириной 20-30 мм, толщиной от 0,14 до 0,19 мм</t>
  </si>
  <si>
    <t>21.2.03.09-0105</t>
  </si>
  <si>
    <t>ФССЦ-2001, 21.2.03.09-0105, приказ Минстроя России №1039/пр от 30.12.2016г.</t>
  </si>
  <si>
    <t>Провода силовые с медной жилой с резиновой изоляцией, в оплетке из хлопчатобумажной пряжи, пропитанной противогнилостным составом марки ПРТО сечением 1х1,5 мм2</t>
  </si>
  <si>
    <t>22.2.02.23-0011</t>
  </si>
  <si>
    <t>ФССЦ-2001, 22.2.02.23-0011, приказ Минстроя России №1039/пр от 30.12.2016г.</t>
  </si>
  <si>
    <t>Глухари</t>
  </si>
  <si>
    <t>1-100-22</t>
  </si>
  <si>
    <t>Рабочий среднего разряда 2.2</t>
  </si>
  <si>
    <t>91.07.04-002</t>
  </si>
  <si>
    <t>ФСЭМ-2001, 91.07.04-002, приказ Минстроя России №1039/пр от 30.12.2016г.</t>
  </si>
  <si>
    <t>Вибратор поверхностный</t>
  </si>
  <si>
    <t>01.7.03.01-0001</t>
  </si>
  <si>
    <t>ФССЦ-2001, 01.7.03.01-0001, приказ Минстроя России №1039/пр от 30.12.2016г.</t>
  </si>
  <si>
    <t>Вода</t>
  </si>
  <si>
    <t>1-100-21</t>
  </si>
  <si>
    <t>Рабочий среднего разряда 2.1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</si>
  <si>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</si>
  <si>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</si>
  <si>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</si>
  <si>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</si>
  <si>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</si>
  <si>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</si>
  <si>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1-100-30</t>
  </si>
  <si>
    <t>Рабочий среднего разряда 3</t>
  </si>
  <si>
    <t>1-100-27</t>
  </si>
  <si>
    <t>Рабочий среднего разряда 2.7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</si>
  <si>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</si>
  <si>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</si>
  <si>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</si>
  <si>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01.3.02.03-0001</t>
  </si>
  <si>
    <t>ФССЦ-2001, 01.3.02.03-0001, приказ Минстроя России №1039/пр от 30.12.2016г.</t>
  </si>
  <si>
    <t>Ацетилен газообразный технический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</si>
  <si>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</si>
  <si>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</si>
  <si>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</si>
  <si>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1-100-36</t>
  </si>
  <si>
    <t>Рабочий среднего разряда 3.6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</si>
  <si>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</si>
  <si>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</si>
  <si>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</si>
  <si>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01.7.15.06-0111</t>
  </si>
  <si>
    <t>ФССЦ-2001, 01.7.15.06-0111, приказ Минстроя России №1039/пр от 30.12.2016г.</t>
  </si>
  <si>
    <t>Гвозди строительные</t>
  </si>
  <si>
    <t>04.3.01.07-0011</t>
  </si>
  <si>
    <t>ФССЦ-2001, 04.3.01.07-0011, приказ Минстроя России №1039/пр от 30.12.2016г.</t>
  </si>
  <si>
    <t>Раствор готовый отделочный тяжелый, известковый 1:2,0</t>
  </si>
  <si>
    <t>11.1.03.06-0087</t>
  </si>
  <si>
    <t>ФССЦ-2001, 11.1.03.06-0087, приказ Минстроя России №1039/пр от 30.12.2016г.</t>
  </si>
  <si>
    <t>Доски обрезные хвойных пород длиной 4-6,5 м, шириной 75-150 мм, толщиной 25 мм, III сорта</t>
  </si>
  <si>
    <t>14.5.01.10-0003</t>
  </si>
  <si>
    <t>ФССЦ-2001, 14.5.01.10-0003, приказ Минстроя России №1039/пр от 30.12.2016г.</t>
  </si>
  <si>
    <t>Пена монтажная</t>
  </si>
  <si>
    <t>л</t>
  </si>
  <si>
    <t>1-100-25</t>
  </si>
  <si>
    <t>Рабочий среднего разряда 2.5</t>
  </si>
  <si>
    <t>1-100-33</t>
  </si>
  <si>
    <t>Рабочий среднего разряда 3.3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</si>
  <si>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</si>
  <si>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</si>
  <si>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</si>
  <si>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01.3.05.19-0011</t>
  </si>
  <si>
    <t>ФССЦ-2001, 01.3.05.19-0011, приказ Минстроя России №1039/пр от 30.12.2016г.</t>
  </si>
  <si>
    <t>Купорос медный марки А</t>
  </si>
  <si>
    <t>01.7.20.08-0051</t>
  </si>
  <si>
    <t>ФССЦ-2001, 01.7.20.08-0051, приказ Минстроя России №1039/пр от 30.12.2016г.</t>
  </si>
  <si>
    <t>Ветошь</t>
  </si>
  <si>
    <t>1-100-31</t>
  </si>
  <si>
    <t>Рабочий среднего разряда 3.1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</si>
  <si>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</si>
  <si>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</si>
  <si>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</si>
  <si>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01.7.08.04-0003</t>
  </si>
  <si>
    <t>ФССЦ-2001, 01.7.08.04-0003, приказ Минстроя России №1039/пр от 30.12.2016г.</t>
  </si>
  <si>
    <t>Мел природный молотый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</si>
  <si>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</si>
  <si>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</si>
  <si>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</si>
  <si>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</si>
  <si>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</si>
  <si>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</si>
  <si>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14.1.03.02-0201</t>
  </si>
  <si>
    <t>ФССЦ-2001, 14.1.03.02-0201, приказ Минстроя России №1039/пр от 30.12.2016г.</t>
  </si>
  <si>
    <t>Клей малярный жидкий</t>
  </si>
  <si>
    <t>14.5.11.01-0001</t>
  </si>
  <si>
    <t>ФССЦ-2001, 14.5.11.01-0001, приказ Минстроя России №1039/пр от 30.12.2016г.</t>
  </si>
  <si>
    <t>Шпатлевка клеевая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</si>
  <si>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</si>
  <si>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</si>
  <si>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</si>
  <si>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04.3.02.01-0412</t>
  </si>
  <si>
    <t>ФССЦ-2001, 04.3.02.01-0412, приказ Минстроя России №1039/пр от 30.12.2016г.</t>
  </si>
  <si>
    <t>Смеси сухие для наливных полов, марка «Ветонит» 3000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</si>
  <si>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</si>
  <si>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</si>
  <si>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</si>
  <si>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91.21.22-193</t>
  </si>
  <si>
    <t>ФСЭМ-2001, 91.21.22-193, приказ Минстроя России №1039/пр от 30.12.2016г.</t>
  </si>
  <si>
    <t>Машины для сварки линолеума</t>
  </si>
  <si>
    <t>1-100-32</t>
  </si>
  <si>
    <t>Рабочий среднего разряда 3.2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</si>
  <si>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</si>
  <si>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</si>
  <si>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</si>
  <si>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</si>
  <si>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</si>
  <si>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</si>
  <si>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04.3.02.09-0102</t>
  </si>
  <si>
    <t>ФССЦ-2001, 04.3.02.09-0102, приказ Минстроя России №1039/пр от 30.12.2016г.</t>
  </si>
  <si>
    <t>Затирка «Старатели» (разной цветности)</t>
  </si>
  <si>
    <t>01.7.15.04-0048</t>
  </si>
  <si>
    <t>ФССЦ-2001, 01.7.15.04-0048, приказ Минстроя России №1039/пр от 30.12.2016г.</t>
  </si>
  <si>
    <t>Винты самонарезающие остроконечные длиной 35 мм</t>
  </si>
  <si>
    <t>01.7.15.07-0021</t>
  </si>
  <si>
    <t>ФССЦ-2001, 01.7.15.07-0021, приказ Минстроя России №1039/пр от 30.12.2016г.</t>
  </si>
  <si>
    <t>Дюбели распорные полиэтиленовые 6х30 мм</t>
  </si>
  <si>
    <t>91.21.12-004</t>
  </si>
  <si>
    <t>ФСЭМ-2001, 91.21.12-004, приказ Минстроя России №1039/пр от 30.12.2016г.</t>
  </si>
  <si>
    <t>Ножницы электрические</t>
  </si>
  <si>
    <t>01.7.06.04-0002</t>
  </si>
  <si>
    <t>ФССЦ-2001, 01.7.06.04-0002, приказ Минстроя России №1039/пр от 30.12.2016г.</t>
  </si>
  <si>
    <t>Лента бумажная для повышения трещиностойкости стыков ГКЛ и ГВЛ</t>
  </si>
  <si>
    <t>01.7.06.04-0007</t>
  </si>
  <si>
    <t>ФССЦ-2001, 01.7.06.04-0007, приказ Минстроя России №1039/пр от 30.12.2016г.</t>
  </si>
  <si>
    <t>Лента разделительная для сопряжения потолка из ЛГК со стеной</t>
  </si>
  <si>
    <t>01.7.15.07-0152</t>
  </si>
  <si>
    <t>ФССЦ-2001, 01.7.15.07-0152, приказ Минстроя России №1039/пр от 30.12.2016г.</t>
  </si>
  <si>
    <t>Дюбель с шурупом 6/35 мм</t>
  </si>
  <si>
    <t>01.7.15.14-0044</t>
  </si>
  <si>
    <t>ФССЦ-2001, 01.7.15.14-0044, приказ Минстроя России №1039/пр от 30.12.2016г.</t>
  </si>
  <si>
    <t>Шуруп самонарезающий (TN) 3,5/25 мм</t>
  </si>
  <si>
    <t>01.7.15.14-0045</t>
  </si>
  <si>
    <t>ФССЦ-2001, 01.7.15.14-0045, приказ Минстроя России №1039/пр от 30.12.2016г.</t>
  </si>
  <si>
    <t>Шуруп самонарезающий (TN) 3,5/35 мм</t>
  </si>
  <si>
    <t>14.4.01.02-0012</t>
  </si>
  <si>
    <t>ФССЦ-2001, 14.4.01.02-0012, приказ Минстроя России №1039/пр от 30.12.2016г.</t>
  </si>
  <si>
    <t>Грунтовка «Тифенгрунд», КНАУФ</t>
  </si>
  <si>
    <t>14.5.11.03-0001</t>
  </si>
  <si>
    <t>ФССЦ-2001, 14.5.11.03-0001, приказ Минстроя России №1039/пр от 30.12.2016г.</t>
  </si>
  <si>
    <t>Шпаклевка «Унифлот», КНАУФ</t>
  </si>
  <si>
    <t>14.5.11.03-0004</t>
  </si>
  <si>
    <t>ФССЦ-2001, 14.5.11.03-0004, приказ Минстроя России №1039/пр от 30.12.2016г.</t>
  </si>
  <si>
    <t>Шпаклевка «Фугенфюллер», КНАУФ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</si>
  <si>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</si>
  <si>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</si>
  <si>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</si>
  <si>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</si>
  <si>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</si>
  <si>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</si>
  <si>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91.21.01-012</t>
  </si>
  <si>
    <t>ФСЭМ-2001, 91.21.01-012, приказ Минстроя России №1039/пр от 30.12.2016г.</t>
  </si>
  <si>
    <t>Агрегаты окрасочные высокого давления для окраски поверхностей конструкций, мощность 1 кВт</t>
  </si>
  <si>
    <t>14.4.04.08-0003</t>
  </si>
  <si>
    <t>ФССЦ-2001, 14.4.04.08-0003, приказ Минстроя России №1039/пр от 30.12.2016г.</t>
  </si>
  <si>
    <t>Эмаль ПФ-115 серая</t>
  </si>
  <si>
    <t>14.5.09.11-0101</t>
  </si>
  <si>
    <t>ФССЦ-2001, 14.5.09.11-0101, приказ Минстроя России №1039/пр от 30.12.2016г.</t>
  </si>
  <si>
    <t>Уайт-спирит</t>
  </si>
  <si>
    <t>1-100-38</t>
  </si>
  <si>
    <t>Рабочий среднего разряда 3.8</t>
  </si>
  <si>
    <t>01.7.07.20-0002</t>
  </si>
  <si>
    <t>ФССЦ-2001, 01.7.07.20-0002, приказ Минстроя России №1039/пр от 30.12.2016г.</t>
  </si>
  <si>
    <t>Тальк молотый, сорт I</t>
  </si>
  <si>
    <t>14.4.02.09-0001</t>
  </si>
  <si>
    <t>ФССЦ-2001, 14.4.02.09-0001, приказ Минстроя России №1039/пр от 30.12.2016г.</t>
  </si>
  <si>
    <t>Краска</t>
  </si>
  <si>
    <t>20.2.01.05-0005</t>
  </si>
  <si>
    <t>ФССЦ-2001, 20.2.01.05-0005, приказ Минстроя России №1039/пр от 30.12.2016г.</t>
  </si>
  <si>
    <t>Гильза кабельная медная ГМ 16</t>
  </si>
  <si>
    <t>20.2.02.01-0013</t>
  </si>
  <si>
    <t>ФССЦ-2001, 20.2.02.01-0013, приказ Минстроя России №1039/пр от 30.12.2016г.</t>
  </si>
  <si>
    <t>Втулки В28</t>
  </si>
  <si>
    <t>01.7.06.07-0001</t>
  </si>
  <si>
    <t>ФССЦ-2001, 01.7.06.07-0001, приказ Минстроя России №1039/пр от 30.12.2016г.</t>
  </si>
  <si>
    <t>Лента К226</t>
  </si>
  <si>
    <t>1-100-42</t>
  </si>
  <si>
    <t>Рабочий среднего разряда 4.2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</si>
  <si>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</si>
  <si>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</si>
  <si>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</si>
  <si>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</si>
  <si>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</si>
  <si>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</si>
  <si>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</si>
  <si>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</si>
  <si>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</si>
  <si>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</si>
  <si>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</si>
  <si>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</si>
  <si>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14.1.02.01-0002</t>
  </si>
  <si>
    <t>ФССЦ-2001, 14.1.02.01-0002, приказ Минстроя России №1039/пр от 30.12.2016г.</t>
  </si>
  <si>
    <t>Клей БМК-5к</t>
  </si>
  <si>
    <t>24.3.01.01-0002</t>
  </si>
  <si>
    <t>ФССЦ-2001, 24.3.01.01-0002, приказ Минстроя России №1039/пр от 30.12.2016г.</t>
  </si>
  <si>
    <t>Трубка полихлорвиниловая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</si>
  <si>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</si>
  <si>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</si>
  <si>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</si>
  <si>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</si>
  <si>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</si>
  <si>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</si>
  <si>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</si>
  <si>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</si>
  <si>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</si>
  <si>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</si>
  <si>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</si>
  <si>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</si>
  <si>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</si>
  <si>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</si>
  <si>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</si>
  <si>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20.1.02.23-0082</t>
  </si>
  <si>
    <t>ФССЦ-2001, 20.1.02.23-0082, приказ Минстроя России №1039/пр от 30.12.2016г.</t>
  </si>
  <si>
    <t>Перемычки гибкие, тип ПГС-50</t>
  </si>
  <si>
    <t>2-200-60</t>
  </si>
  <si>
    <t>Электромонтажник-наладчик, разряд VI</t>
  </si>
  <si>
    <t>2-400-30</t>
  </si>
  <si>
    <t>Инженер по наладке и испытаниям, категория III</t>
  </si>
  <si>
    <t>2-300-20</t>
  </si>
  <si>
    <t>Техник по наладке и испытаниям, категория II</t>
  </si>
  <si>
    <t>2-400-20</t>
  </si>
  <si>
    <t>Инженер по наладке и испытаниям, категория II</t>
  </si>
  <si>
    <t>01.7.07.29-0031</t>
  </si>
  <si>
    <t>ФССЦ-2001, 01.7.07.29-0031, приказ Минстроя России №1039/пр от 30.12.2016г.</t>
  </si>
  <si>
    <t>Каболка</t>
  </si>
  <si>
    <t>01.7.07.29-0101</t>
  </si>
  <si>
    <t>ФССЦ-2001, 01.7.07.29-0101, приказ Минстроя России №1039/пр от 30.12.2016г.</t>
  </si>
  <si>
    <t>Очес льняной</t>
  </si>
  <si>
    <t>03.2.02.08-0001</t>
  </si>
  <si>
    <t>ФССЦ-2001, 03.2.02.08-0001, приказ Минстроя России №1039/пр от 30.12.2016г.</t>
  </si>
  <si>
    <t>Цемент гипсоглиноземистый расширяющийся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</si>
  <si>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</si>
  <si>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</si>
  <si>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</si>
  <si>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</si>
  <si>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</si>
  <si>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</si>
  <si>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</si>
  <si>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</si>
  <si>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</si>
  <si>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91.10.09-011</t>
  </si>
  <si>
    <t>ФСЭМ-2001, 91.10.09-011,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</si>
  <si>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</t>
  </si>
  <si>
    <t>91.17.04-043</t>
  </si>
  <si>
    <t>ФСЭМ-2001, 91.17.04-043, приказ Минстроя России №1039/пр от 30.12.2016г.</t>
  </si>
  <si>
    <t>Аппарат для полуавтоматической сварки полиэтиленовых труб "встык"</t>
  </si>
  <si>
    <t>01.7.15.04-0027</t>
  </si>
  <si>
    <t>ФССЦ-2001, 01.7.15.04-0027, приказ Минстроя России №1039/пр от 30.12.2016г.</t>
  </si>
  <si>
    <t>Винты с полукруглой головкой размером 5,0х40 мм</t>
  </si>
  <si>
    <t>03.1.02.03-0015</t>
  </si>
  <si>
    <t>ФССЦ-2001, 03.1.02.03-0015, приказ Минстроя России №1039/пр от 30.12.2016г.</t>
  </si>
  <si>
    <t>Известь строительная негашеная хлорная, марки А</t>
  </si>
  <si>
    <t>01.1.02.08-0001</t>
  </si>
  <si>
    <t>ФССЦ-2001, 01.1.02.08-0001, приказ Минстроя России №1039/пр от 30.12.2016г.</t>
  </si>
  <si>
    <t>Прокладки из паронита марки ПМБ, толщиной 1 мм, диаметром 50 мм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</si>
  <si>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</si>
  <si>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</si>
  <si>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</si>
  <si>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01.7.15.03-0013</t>
  </si>
  <si>
    <t>ФССЦ-2001, 01.7.15.03-0013, приказ Минстроя России №1039/пр от 30.12.2016г.</t>
  </si>
  <si>
    <t>Болты с гайками и шайбами для санитарно-технических работ диаметром 12 мм</t>
  </si>
  <si>
    <t>1-100-45</t>
  </si>
  <si>
    <t>Рабочий среднего разряда 4.5</t>
  </si>
  <si>
    <t>91.21.16-012</t>
  </si>
  <si>
    <t>ФСЭМ-2001, 91.21.16-012, приказ Минстроя России №1039/пр от 30.12.2016г.</t>
  </si>
  <si>
    <t>Пресс гидравлический с электроприводом</t>
  </si>
  <si>
    <t>Строительный мусор</t>
  </si>
  <si>
    <t>08.1.02.25</t>
  </si>
  <si>
    <t>Ерши металлические</t>
  </si>
  <si>
    <t>12.2.03.15</t>
  </si>
  <si>
    <t>Материалы теплоизоляционные из минеральных волокон</t>
  </si>
  <si>
    <t>01.7.15.07</t>
  </si>
  <si>
    <t>Дюбели распорные полиэтиленовые</t>
  </si>
  <si>
    <t>01.7.15.14</t>
  </si>
  <si>
    <t>Шурупы строительные</t>
  </si>
  <si>
    <t>14.5.02.02</t>
  </si>
  <si>
    <t>Замазка суриковая</t>
  </si>
  <si>
    <t>18.1.09.06</t>
  </si>
  <si>
    <t>Арматура муфтовая</t>
  </si>
  <si>
    <t>24.3.02.01</t>
  </si>
  <si>
    <t>Трубы напорные из полипропилена</t>
  </si>
  <si>
    <t>10М</t>
  </si>
  <si>
    <t>24.3.05.19</t>
  </si>
  <si>
    <t>Фасонные и соеденительные части</t>
  </si>
  <si>
    <t>18.1.01.01</t>
  </si>
  <si>
    <t>Арматура трубопроводная фланцевая</t>
  </si>
  <si>
    <t>23.8.03.12</t>
  </si>
  <si>
    <t>Фланцы стальные</t>
  </si>
  <si>
    <t>Поправка: МДС 81-37.2004, п.3.2.1.2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подлежит дальнейшему использованию, без надобности хранения (перемещается в цеху на другое место установки и т.п.)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</si>
  <si>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</si>
  <si>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Поправка: Прил.2, Табл.2, п. 1.1  Наименование: Производство работ осуществляется в помещениях эксплуатируемого объекта капитального строительства без остановки рабочего процесса предприятия, при этом: в зоне производства работ отсутствуют загромождающие помещение предметы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</si>
  <si>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</si>
  <si>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</si>
  <si>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</si>
  <si>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</si>
  <si>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</si>
  <si>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</si>
  <si>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</si>
  <si>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</si>
  <si>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</si>
  <si>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</si>
  <si>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</si>
  <si>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</si>
  <si>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</si>
  <si>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</si>
  <si>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</si>
  <si>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</si>
  <si>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</si>
  <si>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</si>
  <si>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</si>
  <si>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</si>
  <si>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</si>
  <si>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</si>
  <si>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</si>
  <si>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III квартал 2018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</si>
  <si>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</si>
  <si>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</si>
  <si>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</si>
  <si>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</si>
  <si>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</si>
  <si>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</si>
  <si>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</si>
  <si>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</si>
  <si>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</si>
  <si>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</si>
  <si>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</si>
  <si>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</si>
  <si>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</si>
  <si>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</si>
  <si>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</si>
  <si>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</si>
  <si>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</si>
  <si>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</si>
  <si>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</si>
  <si>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</si>
  <si>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</si>
  <si>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</si>
  <si>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</si>
  <si>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</si>
  <si>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</si>
  <si>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</si>
  <si>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</si>
  <si>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</si>
  <si>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</si>
  <si>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</si>
  <si>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</si>
  <si>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</si>
  <si>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</si>
  <si>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</si>
  <si>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</si>
  <si>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</si>
  <si>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</si>
  <si>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</si>
  <si>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</si>
  <si>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</si>
  <si>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</si>
  <si>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</si>
  <si>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</si>
  <si>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</si>
  <si>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</si>
  <si>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</si>
  <si>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</si>
  <si>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</si>
  <si>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</si>
  <si>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</si>
  <si>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</si>
  <si>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</si>
  <si>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НР с поправкой</t>
  </si>
  <si>
    <t>% СП</t>
  </si>
  <si>
    <t>СП с поправкой</t>
  </si>
  <si>
    <t xml:space="preserve">Итого с НР и СП </t>
  </si>
  <si>
    <t xml:space="preserve">Стоимость материалов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</si>
  <si>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</si>
  <si>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</si>
  <si>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</si>
  <si>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</si>
  <si>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</si>
  <si>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Исключен
Плитки керамические для полов гладкие неглазурованные одноцветные с красителем квадратные и прямоугольные</t>
  </si>
  <si>
    <t>Исключен
Клей плиточный «Старатель-стандарт»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</si>
  <si>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</si>
  <si>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</si>
  <si>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</si>
  <si>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</si>
  <si>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</si>
  <si>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</si>
  <si>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</si>
  <si>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Унифицированная форма № КС-3</t>
  </si>
  <si>
    <t>Коды</t>
  </si>
  <si>
    <t xml:space="preserve">Инвестор </t>
  </si>
  <si>
    <t xml:space="preserve">Заказчик (генподрядчик) </t>
  </si>
  <si>
    <t xml:space="preserve">Подрядчик (субподрядчик) </t>
  </si>
  <si>
    <t xml:space="preserve">Стройка </t>
  </si>
  <si>
    <t>Вид деятельности  по ОКДП</t>
  </si>
  <si>
    <t xml:space="preserve">Договор подряда (контракт) </t>
  </si>
  <si>
    <t>Вид операции</t>
  </si>
  <si>
    <t>СПРАВКА</t>
  </si>
  <si>
    <t>СТОИМОСТИ ВЫПОЛНЕННЫХ РАБОТ И ЗАТРАТ</t>
  </si>
  <si>
    <t>Наименование пусковых комплексов, объектов, видов работ, оборудования, затрат</t>
  </si>
  <si>
    <t>Стоимость выполненных работ и затрат</t>
  </si>
  <si>
    <t>с начала проведения работ</t>
  </si>
  <si>
    <t>с начала года по отчетный период включительно</t>
  </si>
  <si>
    <t>в том числе за отчетный месяц</t>
  </si>
  <si>
    <t>Всего работ и затрат, включаемых в стоимость</t>
  </si>
  <si>
    <t>В том числе:</t>
  </si>
  <si>
    <t>Итого</t>
  </si>
  <si>
    <t xml:space="preserve">Сумма НДС </t>
  </si>
  <si>
    <t xml:space="preserve">Всего с учетом НДС </t>
  </si>
  <si>
    <t>МП</t>
  </si>
  <si>
    <t>СМЕТА</t>
  </si>
  <si>
    <t>на ремонт помещений № 2- № 8, № 10 2-го этажа здания корпуса 30  НИЯУ МИФИ по адресу: г. Москва, Каширское шоссе, д. 31 стр. 7</t>
  </si>
  <si>
    <t>Приложение 1 к форме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</si>
</sst>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8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3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4" fontId="11" fillId="0" borderId="0" xfId="0" applyNumberFormat="1" applyFont="1"/>
    <xf numFmtId="0" fontId="9" fillId="0" borderId="0" xfId="0" applyFont="1" applyAlignment="1">
      <alignment wrapText="1"/>
    </xf>
    <xf numFmtId="164" fontId="0" fillId="0" borderId="0" xfId="0" applyNumberFormat="1"/>
    <xf numFmtId="0" fontId="11" fillId="0" borderId="2" xfId="0" applyFont="1" applyBorder="1"/>
    <xf numFmtId="0" fontId="14" fillId="0" borderId="0" xfId="0" applyFont="1"/>
    <xf numFmtId="0" fontId="11" fillId="0" borderId="0" xfId="0" applyFont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17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164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5" fillId="0" borderId="2" xfId="0" applyFont="1" applyBorder="1" applyAlignment="1">
      <alignment horizontal="center" wrapText="1"/>
    </xf>
    <xf numFmtId="0" fontId="11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14" fontId="9" fillId="0" borderId="4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64" fontId="9" fillId="0" borderId="0" xfId="0" applyNumberFormat="1" applyFont="1" applyAlignment="1">
      <alignment horizontal="right" wrapText="1"/>
    </xf>
    <xf numFmtId="0" fontId="14" fillId="0" borderId="0" xfId="0" applyFont="1" applyAlignment="1">
      <alignment horizontal="right"/>
    </xf>
    <xf numFmtId="164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left" wrapText="1"/>
    </xf>
    <xf numFmtId="0" fontId="11" fillId="0" borderId="14" xfId="0" applyFont="1" applyBorder="1" applyAlignment="1">
      <alignment horizontal="left" vertical="center" shrinkToFit="1"/>
    </xf>
    <xf numFmtId="0" fontId="11" fillId="0" borderId="14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top" shrinkToFit="1"/>
    </xf>
    <xf numFmtId="0" fontId="11" fillId="0" borderId="6" xfId="0" applyFont="1" applyBorder="1" applyAlignment="1">
      <alignment horizontal="center"/>
    </xf>
    <xf numFmtId="14" fontId="11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wrapText="1" shrinkToFit="1"/>
    </xf>
    <xf numFmtId="0" fontId="11" fillId="0" borderId="4" xfId="0" applyFont="1" applyBorder="1" applyAlignment="1">
      <alignment horizontal="center" vertical="center" wrapText="1" shrinkToFit="1"/>
    </xf>
    <xf numFmtId="164" fontId="14" fillId="0" borderId="1" xfId="0" applyNumberFormat="1" applyFont="1" applyBorder="1" applyAlignment="1">
      <alignment horizontal="right"/>
    </xf>
    <xf numFmtId="164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 wrapText="1"/>
    </xf>
    <xf numFmtId="0" fontId="12" fillId="0" borderId="0" xfId="0" applyFont="1" applyAlignment="1">
      <alignment horizontal="center" wrapText="1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2" xfId="0" applyFont="1" applyBorder="1" applyAlignment="1">
      <alignment horizontal="left"/>
    </xf>
    <xf numFmtId="0" fontId="11" fillId="0" borderId="0" xfId="0" applyFont="1" applyAlignment="1">
      <alignment horizontal="right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10" fillId="0" borderId="15" xfId="0" applyFont="1" applyBorder="1" applyAlignment="1">
      <alignment horizontal="center" vertical="top" shrinkToFit="1"/>
    </xf>
    <xf numFmtId="0" fontId="11" fillId="0" borderId="0" xfId="0" applyFont="1" applyAlignment="1">
      <alignment horizontal="right" vertical="center" shrinkToFit="1"/>
    </xf>
    <xf numFmtId="0" fontId="11" fillId="0" borderId="14" xfId="0" applyFont="1" applyBorder="1" applyAlignment="1">
      <alignment horizontal="left" vertical="center" shrinkToFit="1"/>
    </xf>
    <xf numFmtId="0" fontId="11" fillId="0" borderId="0" xfId="0" applyFont="1" applyAlignment="1">
      <alignment horizontal="left" wrapText="1"/>
    </xf>
    <xf numFmtId="0" fontId="9" fillId="0" borderId="0" xfId="0" quotePrefix="1" applyFont="1" applyAlignment="1">
      <alignment wrapText="1"/>
    </xf>
    <xf numFmtId="164" fontId="14" fillId="0" borderId="2" xfId="0" applyNumberFormat="1" applyFont="1" applyBorder="1" applyAlignment="1">
      <alignment horizontal="right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8" xfId="0" applyFont="1" applyBorder="1" applyAlignment="1">
      <alignment horizontal="right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14" fontId="11" fillId="0" borderId="5" xfId="0" applyNumberFormat="1" applyFont="1" applyBorder="1" applyAlignment="1">
      <alignment horizontal="center"/>
    </xf>
    <xf numFmtId="14" fontId="11" fillId="0" borderId="6" xfId="0" applyNumberFormat="1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>
      <alignment horizontal="left" wrapText="1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11" fillId="0" borderId="5" xfId="0" quotePrefix="1" applyFont="1" applyBorder="1" applyAlignment="1">
      <alignment horizontal="center"/>
    </xf>
    <xf numFmtId="0" fontId="11" fillId="0" borderId="2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top" shrinkToFit="1"/>
    </xf>
    <xf numFmtId="0" fontId="11" fillId="0" borderId="4" xfId="0" applyFont="1" applyBorder="1" applyAlignment="1">
      <alignment horizontal="justify" vertical="top" wrapText="1" shrinkToFit="1"/>
    </xf>
    <xf numFmtId="0" fontId="11" fillId="0" borderId="16" xfId="0" applyFont="1" applyBorder="1" applyAlignment="1">
      <alignment horizontal="justify" vertical="top" wrapText="1" shrinkToFit="1"/>
    </xf>
    <xf numFmtId="0" fontId="11" fillId="0" borderId="1" xfId="0" applyFont="1" applyBorder="1" applyAlignment="1">
      <alignment horizontal="justify" vertical="top" wrapText="1" shrinkToFit="1"/>
    </xf>
    <xf numFmtId="0" fontId="11" fillId="0" borderId="6" xfId="0" applyFont="1" applyBorder="1" applyAlignment="1">
      <alignment horizontal="justify" vertical="top" wrapText="1" shrinkToFit="1"/>
    </xf>
    <xf numFmtId="0" fontId="11" fillId="0" borderId="1" xfId="0" applyFont="1" applyBorder="1" applyAlignment="1">
      <alignment horizontal="right"/>
    </xf>
    <xf numFmtId="0" fontId="11" fillId="0" borderId="6" xfId="0" applyFont="1" applyBorder="1" applyAlignment="1">
      <alignment horizontal="right"/>
    </xf>
    <xf numFmtId="164" fontId="11" fillId="0" borderId="5" xfId="0" applyNumberFormat="1" applyFont="1" applyBorder="1" applyAlignment="1">
      <alignment horizontal="right"/>
    </xf>
    <xf numFmtId="0" fontId="11" fillId="0" borderId="0" xfId="0" applyFont="1" applyAlignment="1">
      <alignment horizontal="right" vertical="center" wrapText="1" shrinkToFit="1"/>
    </xf>
    <xf numFmtId="164" fontId="11" fillId="0" borderId="5" xfId="0" applyNumberFormat="1" applyFont="1" applyBorder="1" applyAlignment="1">
      <alignment horizontal="right" vertical="center" wrapText="1" shrinkToFit="1"/>
    </xf>
    <xf numFmtId="0" fontId="11" fillId="0" borderId="6" xfId="0" applyFont="1" applyBorder="1" applyAlignment="1">
      <alignment horizontal="right" vertical="center" wrapText="1" shrinkToFit="1"/>
    </xf>
    <xf numFmtId="164" fontId="11" fillId="0" borderId="4" xfId="0" applyNumberFormat="1" applyFont="1" applyBorder="1" applyAlignment="1">
      <alignment horizontal="right" vertical="center" wrapText="1" shrinkToFit="1"/>
    </xf>
    <xf numFmtId="0" fontId="11" fillId="0" borderId="11" xfId="0" applyFont="1" applyBorder="1" applyAlignment="1">
      <alignment horizontal="right" vertical="center" wrapText="1" shrinkToFit="1"/>
    </xf>
    <xf numFmtId="0" fontId="11" fillId="0" borderId="1" xfId="0" applyFont="1" applyBorder="1" applyAlignment="1">
      <alignment horizontal="center"/>
    </xf>
    <xf numFmtId="0" fontId="11" fillId="0" borderId="5" xfId="0" applyFont="1" applyBorder="1" applyAlignment="1">
      <alignment horizontal="justify" vertical="top" wrapText="1" shrinkToFit="1"/>
    </xf>
    <xf numFmtId="164" fontId="11" fillId="0" borderId="5" xfId="0" applyNumberFormat="1" applyFont="1" applyBorder="1" applyAlignment="1">
      <alignment horizontal="right" wrapText="1" shrinkToFit="1"/>
    </xf>
    <xf numFmtId="0" fontId="11" fillId="0" borderId="1" xfId="0" applyFont="1" applyBorder="1" applyAlignment="1">
      <alignment horizontal="right" wrapText="1" shrinkToFit="1"/>
    </xf>
    <xf numFmtId="0" fontId="11" fillId="0" borderId="6" xfId="0" applyFont="1" applyBorder="1" applyAlignment="1">
      <alignment horizontal="right" wrapText="1" shrinkToFit="1"/>
    </xf>
    <xf numFmtId="0" fontId="11" fillId="0" borderId="5" xfId="0" applyFont="1" applyBorder="1" applyAlignment="1">
      <alignment horizontal="center" vertical="center" wrapText="1" shrinkToFit="1"/>
    </xf>
    <xf numFmtId="0" fontId="11" fillId="0" borderId="7" xfId="0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0" xfId="0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wrapText="1" shrinkToFit="1"/>
    </xf>
    <xf numFmtId="0" fontId="11" fillId="0" borderId="8" xfId="0" applyFont="1" applyBorder="1" applyAlignment="1">
      <alignment horizontal="center" vertical="center" wrapText="1" shrinkToFit="1"/>
    </xf>
    <xf numFmtId="0" fontId="11" fillId="0" borderId="16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14" fontId="11" fillId="0" borderId="11" xfId="0" applyNumberFormat="1" applyFont="1" applyBorder="1" applyAlignment="1">
      <alignment horizontal="center"/>
    </xf>
    <xf numFmtId="14" fontId="11" fillId="0" borderId="16" xfId="0" applyNumberFormat="1" applyFont="1" applyBorder="1" applyAlignment="1">
      <alignment horizontal="center"/>
    </xf>
    <xf numFmtId="0" fontId="11" fillId="0" borderId="4" xfId="0" applyFont="1" applyBorder="1" applyAlignment="1">
      <alignment horizontal="right"/>
    </xf>
    <xf numFmtId="0" fontId="11" fillId="0" borderId="16" xfId="0" applyFont="1" applyBorder="1" applyAlignment="1">
      <alignment horizontal="right"/>
    </xf>
    <xf numFmtId="0" fontId="11" fillId="0" borderId="4" xfId="0" applyFont="1" applyBorder="1"/>
    <xf numFmtId="0" fontId="11" fillId="0" borderId="11" xfId="0" applyFont="1" applyBorder="1"/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horizontal="right"/>
    </xf>
    <xf numFmtId="0" fontId="11" fillId="0" borderId="2" xfId="0" applyFont="1" applyBorder="1"/>
    <xf numFmtId="0" fontId="10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628"/>
  <sheetViews>
    <sheetView tabSelected="1" zoomScaleNormal="100" workbookViewId="0">
      <selection activeCell="AL22" sqref="AL22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10" t="str">
        <f>Source!B1</f>
        <v>Smeta.RU  (495) 974-1589</v>
      </c>
      <c r="I1" t="s">
        <v>1178</v>
      </c>
    </row>
    <row r="2" spans="1:30" ht="14.25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2"/>
      <c r="L2" s="12"/>
    </row>
    <row r="4" spans="1:30" ht="14.25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30" ht="15.75" x14ac:dyDescent="0.25">
      <c r="A5" s="15"/>
      <c r="B5" s="80" t="s">
        <v>1176</v>
      </c>
      <c r="C5" s="80"/>
      <c r="D5" s="80"/>
      <c r="E5" s="80"/>
      <c r="F5" s="80"/>
      <c r="G5" s="80"/>
      <c r="H5" s="80"/>
      <c r="I5" s="80"/>
      <c r="J5" s="80"/>
      <c r="K5" s="80"/>
      <c r="L5" s="15"/>
    </row>
    <row r="6" spans="1:30" ht="15.75" x14ac:dyDescent="0.25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5"/>
    </row>
    <row r="7" spans="1:30" ht="18" hidden="1" x14ac:dyDescent="0.25">
      <c r="A7" s="15"/>
      <c r="B7" s="81" t="str">
        <f>IF(Source!G20&lt;&gt;"Новая локальная смета", Source!G20, "")</f>
        <v/>
      </c>
      <c r="C7" s="81"/>
      <c r="D7" s="81"/>
      <c r="E7" s="81"/>
      <c r="F7" s="81"/>
      <c r="G7" s="81"/>
      <c r="H7" s="81"/>
      <c r="I7" s="81"/>
      <c r="J7" s="81"/>
      <c r="K7" s="81"/>
      <c r="L7" s="15"/>
    </row>
    <row r="8" spans="1:30" ht="14.25" hidden="1" x14ac:dyDescent="0.2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</row>
    <row r="9" spans="1:30" ht="36" x14ac:dyDescent="0.25">
      <c r="A9" s="12"/>
      <c r="B9" s="81" t="str">
        <f>IF(Source!G12&lt;&gt;"Новый объект", Source!G12, "")</f>
        <v>на ремонт помещений № 2- № 8, № 10 2-го этажа здания корпуса 30  НИЯУ МИФИ по адресу: г. Москва, Каширское шоссе, д. 31 стр. 7</v>
      </c>
      <c r="C9" s="81"/>
      <c r="D9" s="81"/>
      <c r="E9" s="81"/>
      <c r="F9" s="81"/>
      <c r="G9" s="81"/>
      <c r="H9" s="81"/>
      <c r="I9" s="81"/>
      <c r="J9" s="81"/>
      <c r="K9" s="81"/>
      <c r="L9" s="17"/>
      <c r="AD9" s="50" t="str">
        <f>IF(Source!G12&lt;&gt;"Новый объект", Source!G12, "")</f>
        <v>на ремонт помещений № 2- № 8, № 10 2-го этажа здания корпуса 30  НИЯУ МИФИ по адресу: г. Москва, Каширское шоссе, д. 31 стр. 7</v>
      </c>
    </row>
    <row r="10" spans="1:30" ht="14.25" x14ac:dyDescent="0.2">
      <c r="A10" s="12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14"/>
    </row>
    <row r="11" spans="1:30" ht="14.25" x14ac:dyDescent="0.2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</row>
    <row r="12" spans="1:30" ht="14.25" x14ac:dyDescent="0.2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30" ht="14.25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30" ht="14.25" x14ac:dyDescent="0.2">
      <c r="A14" s="12"/>
      <c r="B14" s="12"/>
      <c r="C14" s="12"/>
      <c r="D14" s="12"/>
      <c r="E14" s="18"/>
      <c r="F14" s="18"/>
      <c r="G14" s="83" t="s">
        <v>1059</v>
      </c>
      <c r="H14" s="83"/>
      <c r="I14" s="83" t="s">
        <v>1060</v>
      </c>
      <c r="J14" s="83"/>
      <c r="K14" s="12"/>
      <c r="L14" s="12"/>
    </row>
    <row r="15" spans="1:30" ht="15" x14ac:dyDescent="0.25">
      <c r="A15" s="12"/>
      <c r="B15" s="12"/>
      <c r="C15" s="75" t="s">
        <v>1061</v>
      </c>
      <c r="D15" s="75"/>
      <c r="E15" s="75"/>
      <c r="F15" s="75"/>
      <c r="G15" s="76">
        <f>SUM(O26:O625)/1000</f>
        <v>166.65792000000005</v>
      </c>
      <c r="H15" s="76"/>
      <c r="I15" s="76">
        <f>(Source!F359/1000)</f>
        <v>1355.43334</v>
      </c>
      <c r="J15" s="76"/>
      <c r="K15" s="77" t="s">
        <v>1062</v>
      </c>
      <c r="L15" s="77"/>
    </row>
    <row r="16" spans="1:30" ht="14.25" x14ac:dyDescent="0.2">
      <c r="A16" s="12"/>
      <c r="B16" s="12"/>
      <c r="C16" s="79" t="s">
        <v>1063</v>
      </c>
      <c r="D16" s="79"/>
      <c r="E16" s="79"/>
      <c r="F16" s="79"/>
      <c r="G16" s="76">
        <f>SUM(W26:W625)/1000</f>
        <v>113.31610999999995</v>
      </c>
      <c r="H16" s="76"/>
      <c r="I16" s="76">
        <f>(Source!F346)/1000</f>
        <v>760.50838999999996</v>
      </c>
      <c r="J16" s="76"/>
      <c r="K16" s="77" t="s">
        <v>1062</v>
      </c>
      <c r="L16" s="77"/>
    </row>
    <row r="17" spans="1:22" ht="14.25" x14ac:dyDescent="0.2">
      <c r="A17" s="12"/>
      <c r="B17" s="12"/>
      <c r="C17" s="79" t="s">
        <v>1064</v>
      </c>
      <c r="D17" s="79"/>
      <c r="E17" s="79"/>
      <c r="F17" s="79"/>
      <c r="G17" s="76">
        <f>SUM(X26:X625)/1000</f>
        <v>50.956929999999986</v>
      </c>
      <c r="H17" s="76"/>
      <c r="I17" s="76">
        <f>(Source!F347)/1000</f>
        <v>341.92095</v>
      </c>
      <c r="J17" s="76"/>
      <c r="K17" s="77" t="s">
        <v>1062</v>
      </c>
      <c r="L17" s="77"/>
    </row>
    <row r="18" spans="1:22" ht="14.25" x14ac:dyDescent="0.2">
      <c r="A18" s="12"/>
      <c r="B18" s="12"/>
      <c r="C18" s="79" t="s">
        <v>1065</v>
      </c>
      <c r="D18" s="79"/>
      <c r="E18" s="79"/>
      <c r="F18" s="79"/>
      <c r="G18" s="76">
        <f>SUM(Y26:Y625)/1000</f>
        <v>0</v>
      </c>
      <c r="H18" s="76"/>
      <c r="I18" s="76">
        <f>(Source!F338)/1000</f>
        <v>0</v>
      </c>
      <c r="J18" s="76"/>
      <c r="K18" s="77" t="s">
        <v>1062</v>
      </c>
      <c r="L18" s="77"/>
    </row>
    <row r="19" spans="1:22" ht="14.25" x14ac:dyDescent="0.2">
      <c r="A19" s="12"/>
      <c r="B19" s="12"/>
      <c r="C19" s="79" t="s">
        <v>1066</v>
      </c>
      <c r="D19" s="79"/>
      <c r="E19" s="79"/>
      <c r="F19" s="79"/>
      <c r="G19" s="76">
        <f>SUM(Z26:Z625)/1000</f>
        <v>2.3848799999999999</v>
      </c>
      <c r="H19" s="76"/>
      <c r="I19" s="76">
        <f>(Source!F348+Source!F349)/1000</f>
        <v>46.242980000000003</v>
      </c>
      <c r="J19" s="76"/>
      <c r="K19" s="77" t="s">
        <v>1062</v>
      </c>
      <c r="L19" s="77"/>
    </row>
    <row r="20" spans="1:22" ht="15" x14ac:dyDescent="0.25">
      <c r="A20" s="12"/>
      <c r="B20" s="12"/>
      <c r="C20" s="75" t="s">
        <v>1067</v>
      </c>
      <c r="D20" s="75"/>
      <c r="E20" s="75"/>
      <c r="F20" s="75"/>
      <c r="G20" s="76">
        <f>I20</f>
        <v>1349.7377506999999</v>
      </c>
      <c r="H20" s="76"/>
      <c r="I20" s="76">
        <f>(Source!F351+Source!F352)</f>
        <v>1349.7377506999999</v>
      </c>
      <c r="J20" s="76"/>
      <c r="K20" s="77" t="s">
        <v>1068</v>
      </c>
      <c r="L20" s="77"/>
    </row>
    <row r="21" spans="1:22" ht="15" x14ac:dyDescent="0.25">
      <c r="A21" s="12"/>
      <c r="B21" s="12"/>
      <c r="C21" s="75" t="s">
        <v>1069</v>
      </c>
      <c r="D21" s="75"/>
      <c r="E21" s="75"/>
      <c r="F21" s="75"/>
      <c r="G21" s="76">
        <f>SUM(R26:R625)/1000</f>
        <v>12.398839999999995</v>
      </c>
      <c r="H21" s="76"/>
      <c r="I21" s="76">
        <f>(Source!F344+ Source!F343)/1000</f>
        <v>97.947620000000015</v>
      </c>
      <c r="J21" s="76"/>
      <c r="K21" s="77" t="s">
        <v>1062</v>
      </c>
      <c r="L21" s="77"/>
    </row>
    <row r="22" spans="1:22" ht="14.25" x14ac:dyDescent="0.2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2" ht="14.25" x14ac:dyDescent="0.2">
      <c r="A23" s="78" t="s">
        <v>1082</v>
      </c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</row>
    <row r="24" spans="1:22" ht="57" x14ac:dyDescent="0.2">
      <c r="A24" s="19" t="s">
        <v>1070</v>
      </c>
      <c r="B24" s="19" t="s">
        <v>1071</v>
      </c>
      <c r="C24" s="19" t="s">
        <v>1072</v>
      </c>
      <c r="D24" s="19" t="s">
        <v>1073</v>
      </c>
      <c r="E24" s="19" t="s">
        <v>1074</v>
      </c>
      <c r="F24" s="19" t="s">
        <v>1075</v>
      </c>
      <c r="G24" s="19" t="s">
        <v>1076</v>
      </c>
      <c r="H24" s="19" t="s">
        <v>1077</v>
      </c>
      <c r="I24" s="19" t="s">
        <v>1078</v>
      </c>
      <c r="J24" s="19" t="s">
        <v>1079</v>
      </c>
      <c r="K24" s="19" t="s">
        <v>1080</v>
      </c>
      <c r="L24" s="19" t="s">
        <v>1081</v>
      </c>
    </row>
    <row r="25" spans="1:22" ht="14.25" x14ac:dyDescent="0.2">
      <c r="A25" s="20">
        <v>1</v>
      </c>
      <c r="B25" s="20">
        <v>2</v>
      </c>
      <c r="C25" s="20">
        <v>3</v>
      </c>
      <c r="D25" s="20">
        <v>4</v>
      </c>
      <c r="E25" s="20">
        <v>5</v>
      </c>
      <c r="F25" s="20">
        <v>6</v>
      </c>
      <c r="G25" s="20">
        <v>7</v>
      </c>
      <c r="H25" s="20">
        <v>8</v>
      </c>
      <c r="I25" s="20">
        <v>9</v>
      </c>
      <c r="J25" s="20">
        <v>10</v>
      </c>
      <c r="K25" s="20">
        <v>11</v>
      </c>
      <c r="L25" s="21">
        <v>12</v>
      </c>
    </row>
    <row r="27" spans="1:22" ht="16.5" x14ac:dyDescent="0.25">
      <c r="A27" s="74" t="str">
        <f>CONCATENATE("Раздел: ",IF(Source!G24&lt;&gt;"Новый раздел", Source!G24, ""))</f>
        <v>Раздел: Демонтаж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</row>
    <row r="28" spans="1:22" ht="28.5" x14ac:dyDescent="0.2">
      <c r="A28" s="45" t="str">
        <f>Source!E28</f>
        <v>1</v>
      </c>
      <c r="B28" s="46" t="str">
        <f>Source!F28</f>
        <v>46-04-012-03</v>
      </c>
      <c r="C28" s="46" t="str">
        <f>Source!G28</f>
        <v>Разборка деревянных заполнений проемов дверных и воротных</v>
      </c>
      <c r="D28" s="29" t="str">
        <f>Source!H28</f>
        <v>100 м2</v>
      </c>
      <c r="E28" s="11">
        <f>Source!I28</f>
        <v>9.4500000000000001E-2</v>
      </c>
      <c r="F28" s="30">
        <f>Source!AL28+Source!AM28+Source!AO28</f>
        <v>1082.58</v>
      </c>
      <c r="G28" s="31"/>
      <c r="H28" s="30"/>
      <c r="I28" s="31" t="str">
        <f>Source!BO28</f>
        <v/>
      </c>
      <c r="J28" s="31"/>
      <c r="K28" s="30"/>
      <c r="L28" s="32"/>
      <c r="S28">
        <f>ROUND((Source!FX28/100)*((ROUND(Source!AF28*Source!I28, 2)+ROUND(Source!AE28*Source!I28, 2))), 2)</f>
        <v>88.42</v>
      </c>
      <c r="T28">
        <f>Source!X28</f>
        <v>593.30999999999995</v>
      </c>
      <c r="U28">
        <f>ROUND((Source!FY28/100)*((ROUND(Source!AF28*Source!I28, 2)+ROUND(Source!AE28*Source!I28, 2))), 2)</f>
        <v>53.14</v>
      </c>
      <c r="V28">
        <f>Source!Y28</f>
        <v>359.58</v>
      </c>
    </row>
    <row r="29" spans="1:22" x14ac:dyDescent="0.2">
      <c r="C29" s="23" t="str">
        <f>"Объем: "&amp;Source!I28&amp;"=9,45/"&amp;"100"</f>
        <v>Объем: 0,0945=9,45/100</v>
      </c>
    </row>
    <row r="30" spans="1:22" ht="14.25" x14ac:dyDescent="0.2">
      <c r="A30" s="45"/>
      <c r="B30" s="46"/>
      <c r="C30" s="46" t="s">
        <v>1083</v>
      </c>
      <c r="D30" s="29"/>
      <c r="E30" s="11"/>
      <c r="F30" s="30">
        <f>Source!AO28</f>
        <v>840.63</v>
      </c>
      <c r="G30" s="31" t="str">
        <f>Source!DG28</f>
        <v/>
      </c>
      <c r="H30" s="30">
        <f>ROUND(Source!AF28*Source!I28, 2)</f>
        <v>79.44</v>
      </c>
      <c r="I30" s="31"/>
      <c r="J30" s="31">
        <f>IF(Source!BA28&lt;&gt; 0, Source!BA28, 1)</f>
        <v>6.71</v>
      </c>
      <c r="K30" s="30">
        <f>Source!S28</f>
        <v>533.04</v>
      </c>
      <c r="L30" s="32"/>
      <c r="R30">
        <f>H30</f>
        <v>79.44</v>
      </c>
    </row>
    <row r="31" spans="1:22" ht="14.25" x14ac:dyDescent="0.2">
      <c r="A31" s="45"/>
      <c r="B31" s="46"/>
      <c r="C31" s="46" t="s">
        <v>139</v>
      </c>
      <c r="D31" s="29"/>
      <c r="E31" s="11"/>
      <c r="F31" s="30">
        <f>Source!AM28</f>
        <v>241.95</v>
      </c>
      <c r="G31" s="31" t="str">
        <f>Source!DE28</f>
        <v/>
      </c>
      <c r="H31" s="30">
        <f>ROUND(Source!AD28*Source!I28, 2)</f>
        <v>22.86</v>
      </c>
      <c r="I31" s="31"/>
      <c r="J31" s="31">
        <f>IF(Source!BB28&lt;&gt; 0, Source!BB28, 1)</f>
        <v>6.71</v>
      </c>
      <c r="K31" s="30">
        <f>Source!Q28</f>
        <v>153.41999999999999</v>
      </c>
      <c r="L31" s="32"/>
    </row>
    <row r="32" spans="1:22" ht="14.25" x14ac:dyDescent="0.2">
      <c r="A32" s="45"/>
      <c r="B32" s="46"/>
      <c r="C32" s="46" t="s">
        <v>1084</v>
      </c>
      <c r="D32" s="29"/>
      <c r="E32" s="11"/>
      <c r="F32" s="30">
        <f>Source!AN28</f>
        <v>104.49</v>
      </c>
      <c r="G32" s="31" t="str">
        <f>Source!DF28</f>
        <v/>
      </c>
      <c r="H32" s="33">
        <f>ROUND(Source!AE28*Source!I28, 2)</f>
        <v>9.8699999999999992</v>
      </c>
      <c r="I32" s="31"/>
      <c r="J32" s="31">
        <f>IF(Source!BS28&lt;&gt; 0, Source!BS28, 1)</f>
        <v>6.71</v>
      </c>
      <c r="K32" s="33">
        <f>Source!R28</f>
        <v>66.260000000000005</v>
      </c>
      <c r="L32" s="32"/>
      <c r="R32">
        <f>H32</f>
        <v>9.8699999999999992</v>
      </c>
    </row>
    <row r="33" spans="1:26" ht="14.25" x14ac:dyDescent="0.2">
      <c r="A33" s="45"/>
      <c r="B33" s="46"/>
      <c r="C33" s="46" t="s">
        <v>1085</v>
      </c>
      <c r="D33" s="29" t="s">
        <v>1086</v>
      </c>
      <c r="E33" s="11">
        <f>Source!BZ28</f>
        <v>110</v>
      </c>
      <c r="F33" s="72" t="str">
        <f>CONCATENATE(" )", Source!DL28, Source!FT28, "=", Source!FX28)</f>
        <v xml:space="preserve"> )*0,9=99</v>
      </c>
      <c r="G33" s="73"/>
      <c r="H33" s="30">
        <f>SUM(S28:S35)</f>
        <v>88.42</v>
      </c>
      <c r="I33" s="34"/>
      <c r="J33" s="27">
        <f>Source!AT28</f>
        <v>99</v>
      </c>
      <c r="K33" s="30">
        <f>SUM(T28:T35)</f>
        <v>593.30999999999995</v>
      </c>
      <c r="L33" s="32"/>
    </row>
    <row r="34" spans="1:26" ht="14.25" x14ac:dyDescent="0.2">
      <c r="A34" s="45"/>
      <c r="B34" s="46"/>
      <c r="C34" s="46" t="s">
        <v>1087</v>
      </c>
      <c r="D34" s="29" t="s">
        <v>1086</v>
      </c>
      <c r="E34" s="11">
        <f>Source!CA28</f>
        <v>70</v>
      </c>
      <c r="F34" s="72" t="str">
        <f>CONCATENATE(" )", Source!DM28, Source!FU28, "=", Source!FY28)</f>
        <v xml:space="preserve"> )*0,85=59,5</v>
      </c>
      <c r="G34" s="73"/>
      <c r="H34" s="30">
        <f>SUM(U28:U35)</f>
        <v>53.14</v>
      </c>
      <c r="I34" s="34"/>
      <c r="J34" s="27">
        <f>Source!AU28</f>
        <v>60</v>
      </c>
      <c r="K34" s="30">
        <f>SUM(V28:V35)</f>
        <v>359.58</v>
      </c>
      <c r="L34" s="32"/>
    </row>
    <row r="35" spans="1:26" ht="14.25" x14ac:dyDescent="0.2">
      <c r="A35" s="47"/>
      <c r="B35" s="48"/>
      <c r="C35" s="48" t="s">
        <v>1088</v>
      </c>
      <c r="D35" s="35" t="s">
        <v>1089</v>
      </c>
      <c r="E35" s="36">
        <f>Source!AQ28</f>
        <v>103.91</v>
      </c>
      <c r="F35" s="37"/>
      <c r="G35" s="38" t="str">
        <f>Source!DI28</f>
        <v/>
      </c>
      <c r="H35" s="37"/>
      <c r="I35" s="38"/>
      <c r="J35" s="38"/>
      <c r="K35" s="37"/>
      <c r="L35" s="39">
        <f>Source!U28</f>
        <v>9.8194949999999999</v>
      </c>
    </row>
    <row r="36" spans="1:26" ht="15" x14ac:dyDescent="0.25">
      <c r="G36" s="69">
        <f>H30+H31+H33+H34</f>
        <v>243.86</v>
      </c>
      <c r="H36" s="69"/>
      <c r="J36" s="69">
        <f>K30+K31+K33+K34</f>
        <v>1639.35</v>
      </c>
      <c r="K36" s="69"/>
      <c r="L36" s="40">
        <f>Source!U28</f>
        <v>9.8194949999999999</v>
      </c>
      <c r="O36" s="24">
        <f>G36</f>
        <v>243.86</v>
      </c>
      <c r="P36" s="24">
        <f>J36</f>
        <v>1639.35</v>
      </c>
      <c r="Q36" s="24">
        <f>L36</f>
        <v>9.8194949999999999</v>
      </c>
      <c r="W36">
        <f>IF(Source!BI28&lt;=1,H30+H31+H33+H34, 0)</f>
        <v>243.86</v>
      </c>
      <c r="X36">
        <f>IF(Source!BI28=2,H30+H31+H33+H34, 0)</f>
        <v>0</v>
      </c>
      <c r="Y36">
        <f>IF(Source!BI28=3,H30+H31+H33+H34, 0)</f>
        <v>0</v>
      </c>
      <c r="Z36">
        <f>IF(Source!BI28=4,H30+H31+H33+H34, 0)</f>
        <v>0</v>
      </c>
    </row>
    <row r="37" spans="1:26" ht="28.5" x14ac:dyDescent="0.2">
      <c r="A37" s="45" t="str">
        <f>Source!E29</f>
        <v>2</v>
      </c>
      <c r="B37" s="46" t="str">
        <f>Source!F29</f>
        <v>67-4-5</v>
      </c>
      <c r="C37" s="46" t="str">
        <f>Source!G29</f>
        <v>Демонтаж светильников для люминесцентных ламп (прим.)</v>
      </c>
      <c r="D37" s="29" t="str">
        <f>Source!H29</f>
        <v>100 ШТ</v>
      </c>
      <c r="E37" s="11">
        <f>Source!I29</f>
        <v>0.48</v>
      </c>
      <c r="F37" s="30">
        <f>Source!AL29+Source!AM29+Source!AO29</f>
        <v>145.97999999999999</v>
      </c>
      <c r="G37" s="31"/>
      <c r="H37" s="30"/>
      <c r="I37" s="31" t="str">
        <f>Source!BO29</f>
        <v/>
      </c>
      <c r="J37" s="31"/>
      <c r="K37" s="30"/>
      <c r="L37" s="32"/>
      <c r="S37">
        <f>ROUND((Source!FX29/100)*((ROUND(Source!AF29*Source!I29, 2)+ROUND(Source!AE29*Source!I29, 2))), 2)</f>
        <v>58.98</v>
      </c>
      <c r="T37">
        <f>Source!X29</f>
        <v>395.76</v>
      </c>
      <c r="U37">
        <f>ROUND((Source!FY29/100)*((ROUND(Source!AF29*Source!I29, 2)+ROUND(Source!AE29*Source!I29, 2))), 2)</f>
        <v>45.1</v>
      </c>
      <c r="V37">
        <f>Source!Y29</f>
        <v>302.64</v>
      </c>
    </row>
    <row r="38" spans="1:26" x14ac:dyDescent="0.2">
      <c r="C38" s="23" t="str">
        <f>"Объем: "&amp;Source!I29&amp;"=48/"&amp;"100"</f>
        <v>Объем: 0,48=48/100</v>
      </c>
    </row>
    <row r="39" spans="1:26" ht="14.25" x14ac:dyDescent="0.2">
      <c r="A39" s="45"/>
      <c r="B39" s="46"/>
      <c r="C39" s="46" t="s">
        <v>1083</v>
      </c>
      <c r="D39" s="29"/>
      <c r="E39" s="11"/>
      <c r="F39" s="30">
        <f>Source!AO29</f>
        <v>143.47999999999999</v>
      </c>
      <c r="G39" s="31" t="str">
        <f>Source!DG29</f>
        <v/>
      </c>
      <c r="H39" s="30">
        <f>ROUND(Source!AF29*Source!I29, 2)</f>
        <v>68.87</v>
      </c>
      <c r="I39" s="31"/>
      <c r="J39" s="31">
        <f>IF(Source!BA29&lt;&gt; 0, Source!BA29, 1)</f>
        <v>6.71</v>
      </c>
      <c r="K39" s="30">
        <f>Source!S29</f>
        <v>462.12</v>
      </c>
      <c r="L39" s="32"/>
      <c r="R39">
        <f>H39</f>
        <v>68.87</v>
      </c>
    </row>
    <row r="40" spans="1:26" ht="14.25" x14ac:dyDescent="0.2">
      <c r="A40" s="45"/>
      <c r="B40" s="46"/>
      <c r="C40" s="46" t="s">
        <v>139</v>
      </c>
      <c r="D40" s="29"/>
      <c r="E40" s="11"/>
      <c r="F40" s="30">
        <f>Source!AM29</f>
        <v>2.5</v>
      </c>
      <c r="G40" s="31" t="str">
        <f>Source!DE29</f>
        <v/>
      </c>
      <c r="H40" s="30">
        <f>ROUND(Source!AD29*Source!I29, 2)</f>
        <v>1.2</v>
      </c>
      <c r="I40" s="31"/>
      <c r="J40" s="31">
        <f>IF(Source!BB29&lt;&gt; 0, Source!BB29, 1)</f>
        <v>6.71</v>
      </c>
      <c r="K40" s="30">
        <f>Source!Q29</f>
        <v>8.0500000000000007</v>
      </c>
      <c r="L40" s="32"/>
    </row>
    <row r="41" spans="1:26" ht="14.25" x14ac:dyDescent="0.2">
      <c r="A41" s="45"/>
      <c r="B41" s="46"/>
      <c r="C41" s="46" t="s">
        <v>1084</v>
      </c>
      <c r="D41" s="29"/>
      <c r="E41" s="11"/>
      <c r="F41" s="30">
        <f>Source!AN29</f>
        <v>1.08</v>
      </c>
      <c r="G41" s="31" t="str">
        <f>Source!DF29</f>
        <v/>
      </c>
      <c r="H41" s="33">
        <f>ROUND(Source!AE29*Source!I29, 2)</f>
        <v>0.52</v>
      </c>
      <c r="I41" s="31"/>
      <c r="J41" s="31">
        <f>IF(Source!BS29&lt;&gt; 0, Source!BS29, 1)</f>
        <v>6.71</v>
      </c>
      <c r="K41" s="33">
        <f>Source!R29</f>
        <v>3.48</v>
      </c>
      <c r="L41" s="32"/>
      <c r="R41">
        <f>H41</f>
        <v>0.52</v>
      </c>
    </row>
    <row r="42" spans="1:26" ht="14.25" x14ac:dyDescent="0.2">
      <c r="A42" s="45"/>
      <c r="B42" s="46"/>
      <c r="C42" s="46" t="s">
        <v>1085</v>
      </c>
      <c r="D42" s="29" t="s">
        <v>1086</v>
      </c>
      <c r="E42" s="11">
        <f>Source!BZ29</f>
        <v>85</v>
      </c>
      <c r="F42" s="49"/>
      <c r="G42" s="31"/>
      <c r="H42" s="30">
        <f>SUM(S37:S44)</f>
        <v>58.98</v>
      </c>
      <c r="I42" s="34"/>
      <c r="J42" s="27">
        <f>Source!AT29</f>
        <v>85</v>
      </c>
      <c r="K42" s="30">
        <f>SUM(T37:T44)</f>
        <v>395.76</v>
      </c>
      <c r="L42" s="32"/>
    </row>
    <row r="43" spans="1:26" ht="14.25" x14ac:dyDescent="0.2">
      <c r="A43" s="45"/>
      <c r="B43" s="46"/>
      <c r="C43" s="46" t="s">
        <v>1087</v>
      </c>
      <c r="D43" s="29" t="s">
        <v>1086</v>
      </c>
      <c r="E43" s="11">
        <f>Source!CA29</f>
        <v>65</v>
      </c>
      <c r="F43" s="49"/>
      <c r="G43" s="31"/>
      <c r="H43" s="30">
        <f>SUM(U37:U44)</f>
        <v>45.1</v>
      </c>
      <c r="I43" s="34"/>
      <c r="J43" s="27">
        <f>Source!AU29</f>
        <v>65</v>
      </c>
      <c r="K43" s="30">
        <f>SUM(V37:V44)</f>
        <v>302.64</v>
      </c>
      <c r="L43" s="32"/>
    </row>
    <row r="44" spans="1:26" ht="14.25" x14ac:dyDescent="0.2">
      <c r="A44" s="47"/>
      <c r="B44" s="48"/>
      <c r="C44" s="48" t="s">
        <v>1088</v>
      </c>
      <c r="D44" s="35" t="s">
        <v>1089</v>
      </c>
      <c r="E44" s="36">
        <f>Source!AQ29</f>
        <v>17.89</v>
      </c>
      <c r="F44" s="37"/>
      <c r="G44" s="38" t="str">
        <f>Source!DI29</f>
        <v/>
      </c>
      <c r="H44" s="37"/>
      <c r="I44" s="38"/>
      <c r="J44" s="38"/>
      <c r="K44" s="37"/>
      <c r="L44" s="39">
        <f>Source!U29</f>
        <v>8.5871999999999993</v>
      </c>
    </row>
    <row r="45" spans="1:26" ht="15" x14ac:dyDescent="0.25">
      <c r="G45" s="69">
        <f>H39+H40+H42+H43</f>
        <v>174.15</v>
      </c>
      <c r="H45" s="69"/>
      <c r="J45" s="69">
        <f>K39+K40+K42+K43</f>
        <v>1168.5700000000002</v>
      </c>
      <c r="K45" s="69"/>
      <c r="L45" s="40">
        <f>Source!U29</f>
        <v>8.5871999999999993</v>
      </c>
      <c r="O45" s="24">
        <f>G45</f>
        <v>174.15</v>
      </c>
      <c r="P45" s="24">
        <f>J45</f>
        <v>1168.5700000000002</v>
      </c>
      <c r="Q45" s="24">
        <f>L45</f>
        <v>8.5871999999999993</v>
      </c>
      <c r="W45">
        <f>IF(Source!BI29&lt;=1,H39+H40+H42+H43, 0)</f>
        <v>174.15</v>
      </c>
      <c r="X45">
        <f>IF(Source!BI29=2,H39+H40+H42+H43, 0)</f>
        <v>0</v>
      </c>
      <c r="Y45">
        <f>IF(Source!BI29=3,H39+H40+H42+H43, 0)</f>
        <v>0</v>
      </c>
      <c r="Z45">
        <f>IF(Source!BI29=4,H39+H40+H42+H43, 0)</f>
        <v>0</v>
      </c>
    </row>
    <row r="46" spans="1:26" ht="14.25" x14ac:dyDescent="0.2">
      <c r="A46" s="45" t="str">
        <f>Source!E30</f>
        <v>3</v>
      </c>
      <c r="B46" s="46" t="str">
        <f>Source!F30</f>
        <v>67-4-1</v>
      </c>
      <c r="C46" s="46" t="str">
        <f>Source!G30</f>
        <v>Демонтаж выключателей, розеток</v>
      </c>
      <c r="D46" s="29" t="str">
        <f>Source!H30</f>
        <v>100 ШТ</v>
      </c>
      <c r="E46" s="11">
        <f>Source!I30</f>
        <v>0.46</v>
      </c>
      <c r="F46" s="30">
        <f>Source!AL30+Source!AM30+Source!AO30</f>
        <v>45.55</v>
      </c>
      <c r="G46" s="31"/>
      <c r="H46" s="30"/>
      <c r="I46" s="31" t="str">
        <f>Source!BO30</f>
        <v/>
      </c>
      <c r="J46" s="31"/>
      <c r="K46" s="30"/>
      <c r="L46" s="32"/>
      <c r="S46">
        <f>ROUND((Source!FX30/100)*((ROUND(Source!AF30*Source!I30, 2)+ROUND(Source!AE30*Source!I30, 2))), 2)</f>
        <v>17.809999999999999</v>
      </c>
      <c r="T46">
        <f>Source!X30</f>
        <v>119.5</v>
      </c>
      <c r="U46">
        <f>ROUND((Source!FY30/100)*((ROUND(Source!AF30*Source!I30, 2)+ROUND(Source!AE30*Source!I30, 2))), 2)</f>
        <v>13.62</v>
      </c>
      <c r="V46">
        <f>Source!Y30</f>
        <v>91.38</v>
      </c>
    </row>
    <row r="47" spans="1:26" x14ac:dyDescent="0.2">
      <c r="C47" s="23" t="str">
        <f>"Объем: "&amp;Source!I30&amp;"=46/"&amp;"100"</f>
        <v>Объем: 0,46=46/100</v>
      </c>
    </row>
    <row r="48" spans="1:26" ht="14.25" x14ac:dyDescent="0.2">
      <c r="A48" s="45"/>
      <c r="B48" s="46"/>
      <c r="C48" s="46" t="s">
        <v>1083</v>
      </c>
      <c r="D48" s="29"/>
      <c r="E48" s="11"/>
      <c r="F48" s="30">
        <f>Source!AO30</f>
        <v>45.55</v>
      </c>
      <c r="G48" s="31" t="str">
        <f>Source!DG30</f>
        <v/>
      </c>
      <c r="H48" s="30">
        <f>ROUND(Source!AF30*Source!I30, 2)</f>
        <v>20.95</v>
      </c>
      <c r="I48" s="31"/>
      <c r="J48" s="31">
        <f>IF(Source!BA30&lt;&gt; 0, Source!BA30, 1)</f>
        <v>6.71</v>
      </c>
      <c r="K48" s="30">
        <f>Source!S30</f>
        <v>140.59</v>
      </c>
      <c r="L48" s="32"/>
      <c r="R48">
        <f>H48</f>
        <v>20.95</v>
      </c>
    </row>
    <row r="49" spans="1:26" ht="14.25" x14ac:dyDescent="0.2">
      <c r="A49" s="45"/>
      <c r="B49" s="46"/>
      <c r="C49" s="46" t="s">
        <v>1085</v>
      </c>
      <c r="D49" s="29" t="s">
        <v>1086</v>
      </c>
      <c r="E49" s="11">
        <f>Source!BZ30</f>
        <v>85</v>
      </c>
      <c r="F49" s="49"/>
      <c r="G49" s="31"/>
      <c r="H49" s="30">
        <f>SUM(S46:S51)</f>
        <v>17.809999999999999</v>
      </c>
      <c r="I49" s="34"/>
      <c r="J49" s="27">
        <f>Source!AT30</f>
        <v>85</v>
      </c>
      <c r="K49" s="30">
        <f>SUM(T46:T51)</f>
        <v>119.5</v>
      </c>
      <c r="L49" s="32"/>
    </row>
    <row r="50" spans="1:26" ht="14.25" x14ac:dyDescent="0.2">
      <c r="A50" s="45"/>
      <c r="B50" s="46"/>
      <c r="C50" s="46" t="s">
        <v>1087</v>
      </c>
      <c r="D50" s="29" t="s">
        <v>1086</v>
      </c>
      <c r="E50" s="11">
        <f>Source!CA30</f>
        <v>65</v>
      </c>
      <c r="F50" s="49"/>
      <c r="G50" s="31"/>
      <c r="H50" s="30">
        <f>SUM(U46:U51)</f>
        <v>13.62</v>
      </c>
      <c r="I50" s="34"/>
      <c r="J50" s="27">
        <f>Source!AU30</f>
        <v>65</v>
      </c>
      <c r="K50" s="30">
        <f>SUM(V46:V51)</f>
        <v>91.38</v>
      </c>
      <c r="L50" s="32"/>
    </row>
    <row r="51" spans="1:26" ht="14.25" x14ac:dyDescent="0.2">
      <c r="A51" s="47"/>
      <c r="B51" s="48"/>
      <c r="C51" s="48" t="s">
        <v>1088</v>
      </c>
      <c r="D51" s="35" t="s">
        <v>1089</v>
      </c>
      <c r="E51" s="36">
        <f>Source!AQ30</f>
        <v>5.84</v>
      </c>
      <c r="F51" s="37"/>
      <c r="G51" s="38" t="str">
        <f>Source!DI30</f>
        <v/>
      </c>
      <c r="H51" s="37"/>
      <c r="I51" s="38"/>
      <c r="J51" s="38"/>
      <c r="K51" s="37"/>
      <c r="L51" s="39">
        <f>Source!U30</f>
        <v>2.6863999999999999</v>
      </c>
    </row>
    <row r="52" spans="1:26" ht="15" x14ac:dyDescent="0.25">
      <c r="G52" s="69">
        <f>H48+H49+H50</f>
        <v>52.379999999999995</v>
      </c>
      <c r="H52" s="69"/>
      <c r="J52" s="69">
        <f>K48+K49+K50</f>
        <v>351.47</v>
      </c>
      <c r="K52" s="69"/>
      <c r="L52" s="40">
        <f>Source!U30</f>
        <v>2.6863999999999999</v>
      </c>
      <c r="O52" s="24">
        <f>G52</f>
        <v>52.379999999999995</v>
      </c>
      <c r="P52" s="24">
        <f>J52</f>
        <v>351.47</v>
      </c>
      <c r="Q52" s="24">
        <f>L52</f>
        <v>2.6863999999999999</v>
      </c>
      <c r="W52">
        <f>IF(Source!BI30&lt;=1,H48+H49+H50, 0)</f>
        <v>52.379999999999995</v>
      </c>
      <c r="X52">
        <f>IF(Source!BI30=2,H48+H49+H50, 0)</f>
        <v>0</v>
      </c>
      <c r="Y52">
        <f>IF(Source!BI30=3,H48+H49+H50, 0)</f>
        <v>0</v>
      </c>
      <c r="Z52">
        <f>IF(Source!BI30=4,H48+H49+H50, 0)</f>
        <v>0</v>
      </c>
    </row>
    <row r="53" spans="1:26" ht="14.25" x14ac:dyDescent="0.2">
      <c r="A53" s="45" t="str">
        <f>Source!E31</f>
        <v>4</v>
      </c>
      <c r="B53" s="46" t="str">
        <f>Source!F31</f>
        <v>67-3-1</v>
      </c>
      <c r="C53" s="46" t="str">
        <f>Source!G31</f>
        <v>Демонтаж кабеля</v>
      </c>
      <c r="D53" s="29" t="str">
        <f>Source!H31</f>
        <v>100 м</v>
      </c>
      <c r="E53" s="11">
        <f>Source!I31</f>
        <v>1.1499999999999999</v>
      </c>
      <c r="F53" s="30">
        <f>Source!AL31+Source!AM31+Source!AO31</f>
        <v>75.5</v>
      </c>
      <c r="G53" s="31"/>
      <c r="H53" s="30"/>
      <c r="I53" s="31" t="str">
        <f>Source!BO31</f>
        <v/>
      </c>
      <c r="J53" s="31"/>
      <c r="K53" s="30"/>
      <c r="L53" s="32"/>
      <c r="S53">
        <f>ROUND((Source!FX31/100)*((ROUND(Source!AF31*Source!I31, 2)+ROUND(Source!AE31*Source!I31, 2))), 2)</f>
        <v>73.64</v>
      </c>
      <c r="T53">
        <f>Source!X31</f>
        <v>494.09</v>
      </c>
      <c r="U53">
        <f>ROUND((Source!FY31/100)*((ROUND(Source!AF31*Source!I31, 2)+ROUND(Source!AE31*Source!I31, 2))), 2)</f>
        <v>56.31</v>
      </c>
      <c r="V53">
        <f>Source!Y31</f>
        <v>377.83</v>
      </c>
    </row>
    <row r="54" spans="1:26" x14ac:dyDescent="0.2">
      <c r="C54" s="23" t="str">
        <f>"Объем: "&amp;Source!I31&amp;"=115/"&amp;"100"</f>
        <v>Объем: 1,15=115/100</v>
      </c>
    </row>
    <row r="55" spans="1:26" ht="14.25" x14ac:dyDescent="0.2">
      <c r="A55" s="45"/>
      <c r="B55" s="46"/>
      <c r="C55" s="46" t="s">
        <v>1083</v>
      </c>
      <c r="D55" s="29"/>
      <c r="E55" s="11"/>
      <c r="F55" s="30">
        <f>Source!AO31</f>
        <v>75.19</v>
      </c>
      <c r="G55" s="31" t="str">
        <f>Source!DG31</f>
        <v/>
      </c>
      <c r="H55" s="30">
        <f>ROUND(Source!AF31*Source!I31, 2)</f>
        <v>86.47</v>
      </c>
      <c r="I55" s="31"/>
      <c r="J55" s="31">
        <f>IF(Source!BA31&lt;&gt; 0, Source!BA31, 1)</f>
        <v>6.71</v>
      </c>
      <c r="K55" s="30">
        <f>Source!S31</f>
        <v>580.20000000000005</v>
      </c>
      <c r="L55" s="32"/>
      <c r="R55">
        <f>H55</f>
        <v>86.47</v>
      </c>
    </row>
    <row r="56" spans="1:26" ht="14.25" x14ac:dyDescent="0.2">
      <c r="A56" s="45"/>
      <c r="B56" s="46"/>
      <c r="C56" s="46" t="s">
        <v>139</v>
      </c>
      <c r="D56" s="29"/>
      <c r="E56" s="11"/>
      <c r="F56" s="30">
        <f>Source!AM31</f>
        <v>0.31</v>
      </c>
      <c r="G56" s="31" t="str">
        <f>Source!DE31</f>
        <v/>
      </c>
      <c r="H56" s="30">
        <f>ROUND(Source!AD31*Source!I31, 2)</f>
        <v>0.36</v>
      </c>
      <c r="I56" s="31"/>
      <c r="J56" s="31">
        <f>IF(Source!BB31&lt;&gt; 0, Source!BB31, 1)</f>
        <v>6.71</v>
      </c>
      <c r="K56" s="30">
        <f>Source!Q31</f>
        <v>2.39</v>
      </c>
      <c r="L56" s="32"/>
    </row>
    <row r="57" spans="1:26" ht="14.25" x14ac:dyDescent="0.2">
      <c r="A57" s="45"/>
      <c r="B57" s="46"/>
      <c r="C57" s="46" t="s">
        <v>1084</v>
      </c>
      <c r="D57" s="29"/>
      <c r="E57" s="11"/>
      <c r="F57" s="30">
        <f>Source!AN31</f>
        <v>0.14000000000000001</v>
      </c>
      <c r="G57" s="31" t="str">
        <f>Source!DF31</f>
        <v/>
      </c>
      <c r="H57" s="33">
        <f>ROUND(Source!AE31*Source!I31, 2)</f>
        <v>0.16</v>
      </c>
      <c r="I57" s="31"/>
      <c r="J57" s="31">
        <f>IF(Source!BS31&lt;&gt; 0, Source!BS31, 1)</f>
        <v>6.71</v>
      </c>
      <c r="K57" s="33">
        <f>Source!R31</f>
        <v>1.08</v>
      </c>
      <c r="L57" s="32"/>
      <c r="R57">
        <f>H57</f>
        <v>0.16</v>
      </c>
    </row>
    <row r="58" spans="1:26" ht="14.25" x14ac:dyDescent="0.2">
      <c r="A58" s="45"/>
      <c r="B58" s="46"/>
      <c r="C58" s="46" t="s">
        <v>1085</v>
      </c>
      <c r="D58" s="29" t="s">
        <v>1086</v>
      </c>
      <c r="E58" s="11">
        <f>Source!BZ31</f>
        <v>85</v>
      </c>
      <c r="F58" s="49"/>
      <c r="G58" s="31"/>
      <c r="H58" s="30">
        <f>SUM(S53:S60)</f>
        <v>73.64</v>
      </c>
      <c r="I58" s="34"/>
      <c r="J58" s="27">
        <f>Source!AT31</f>
        <v>85</v>
      </c>
      <c r="K58" s="30">
        <f>SUM(T53:T60)</f>
        <v>494.09</v>
      </c>
      <c r="L58" s="32"/>
    </row>
    <row r="59" spans="1:26" ht="14.25" x14ac:dyDescent="0.2">
      <c r="A59" s="45"/>
      <c r="B59" s="46"/>
      <c r="C59" s="46" t="s">
        <v>1087</v>
      </c>
      <c r="D59" s="29" t="s">
        <v>1086</v>
      </c>
      <c r="E59" s="11">
        <f>Source!CA31</f>
        <v>65</v>
      </c>
      <c r="F59" s="49"/>
      <c r="G59" s="31"/>
      <c r="H59" s="30">
        <f>SUM(U53:U60)</f>
        <v>56.31</v>
      </c>
      <c r="I59" s="34"/>
      <c r="J59" s="27">
        <f>Source!AU31</f>
        <v>65</v>
      </c>
      <c r="K59" s="30">
        <f>SUM(V53:V60)</f>
        <v>377.83</v>
      </c>
      <c r="L59" s="32"/>
    </row>
    <row r="60" spans="1:26" ht="14.25" x14ac:dyDescent="0.2">
      <c r="A60" s="47"/>
      <c r="B60" s="48"/>
      <c r="C60" s="48" t="s">
        <v>1088</v>
      </c>
      <c r="D60" s="35" t="s">
        <v>1089</v>
      </c>
      <c r="E60" s="36">
        <f>Source!AQ31</f>
        <v>9.64</v>
      </c>
      <c r="F60" s="37"/>
      <c r="G60" s="38" t="str">
        <f>Source!DI31</f>
        <v/>
      </c>
      <c r="H60" s="37"/>
      <c r="I60" s="38"/>
      <c r="J60" s="38"/>
      <c r="K60" s="37"/>
      <c r="L60" s="39">
        <f>Source!U31</f>
        <v>11.086</v>
      </c>
    </row>
    <row r="61" spans="1:26" ht="15" x14ac:dyDescent="0.25">
      <c r="G61" s="69">
        <f>H55+H56+H58+H59</f>
        <v>216.78</v>
      </c>
      <c r="H61" s="69"/>
      <c r="J61" s="69">
        <f>K55+K56+K58+K59</f>
        <v>1454.51</v>
      </c>
      <c r="K61" s="69"/>
      <c r="L61" s="40">
        <f>Source!U31</f>
        <v>11.086</v>
      </c>
      <c r="O61" s="24">
        <f>G61</f>
        <v>216.78</v>
      </c>
      <c r="P61" s="24">
        <f>J61</f>
        <v>1454.51</v>
      </c>
      <c r="Q61" s="24">
        <f>L61</f>
        <v>11.086</v>
      </c>
      <c r="W61">
        <f>IF(Source!BI31&lt;=1,H55+H56+H58+H59, 0)</f>
        <v>216.78</v>
      </c>
      <c r="X61">
        <f>IF(Source!BI31=2,H55+H56+H58+H59, 0)</f>
        <v>0</v>
      </c>
      <c r="Y61">
        <f>IF(Source!BI31=3,H55+H56+H58+H59, 0)</f>
        <v>0</v>
      </c>
      <c r="Z61">
        <f>IF(Source!BI31=4,H55+H56+H58+H59, 0)</f>
        <v>0</v>
      </c>
    </row>
    <row r="62" spans="1:26" ht="28.5" x14ac:dyDescent="0.2">
      <c r="A62" s="45" t="str">
        <f>Source!E32</f>
        <v>5</v>
      </c>
      <c r="B62" s="46" t="str">
        <f>Source!F32</f>
        <v>м08-02-370-02</v>
      </c>
      <c r="C62" s="46" t="str">
        <f>Source!G32</f>
        <v>Демонтаж:Щиток до трех групп, устанавливаемый в нише цоколя</v>
      </c>
      <c r="D62" s="29" t="str">
        <f>Source!H32</f>
        <v>ШТ</v>
      </c>
      <c r="E62" s="11">
        <f>Source!I32</f>
        <v>2</v>
      </c>
      <c r="F62" s="30">
        <f>Source!AL32+Source!AM32+Source!AO32</f>
        <v>33.42</v>
      </c>
      <c r="G62" s="31"/>
      <c r="H62" s="30"/>
      <c r="I62" s="31" t="str">
        <f>Source!BO32</f>
        <v/>
      </c>
      <c r="J62" s="31"/>
      <c r="K62" s="30"/>
      <c r="L62" s="32"/>
      <c r="S62">
        <f>ROUND((Source!FX32/100)*((ROUND(Source!AF32*Source!I32, 2)+ROUND(Source!AE32*Source!I32, 2))), 2)</f>
        <v>6.82</v>
      </c>
      <c r="T62">
        <f>Source!X32</f>
        <v>45.77</v>
      </c>
      <c r="U62">
        <f>ROUND((Source!FY32/100)*((ROUND(Source!AF32*Source!I32, 2)+ROUND(Source!AE32*Source!I32, 2))), 2)</f>
        <v>4.67</v>
      </c>
      <c r="V62">
        <f>Source!Y32</f>
        <v>31.32</v>
      </c>
    </row>
    <row r="63" spans="1:26" ht="14.25" x14ac:dyDescent="0.2">
      <c r="A63" s="45"/>
      <c r="B63" s="46"/>
      <c r="C63" s="46" t="s">
        <v>1083</v>
      </c>
      <c r="D63" s="29"/>
      <c r="E63" s="11"/>
      <c r="F63" s="30">
        <f>Source!AO32</f>
        <v>9.4499999999999993</v>
      </c>
      <c r="G63" s="31" t="str">
        <f>Source!DG32</f>
        <v>)*0,3</v>
      </c>
      <c r="H63" s="30">
        <f>ROUND(Source!AF32*Source!I32, 2)</f>
        <v>5.68</v>
      </c>
      <c r="I63" s="31"/>
      <c r="J63" s="31">
        <f>IF(Source!BA32&lt;&gt; 0, Source!BA32, 1)</f>
        <v>6.71</v>
      </c>
      <c r="K63" s="30">
        <f>Source!S32</f>
        <v>38.11</v>
      </c>
      <c r="L63" s="32"/>
      <c r="R63">
        <f>H63</f>
        <v>5.68</v>
      </c>
    </row>
    <row r="64" spans="1:26" ht="14.25" x14ac:dyDescent="0.2">
      <c r="A64" s="45"/>
      <c r="B64" s="46"/>
      <c r="C64" s="46" t="s">
        <v>139</v>
      </c>
      <c r="D64" s="29"/>
      <c r="E64" s="11"/>
      <c r="F64" s="30">
        <f>Source!AM32</f>
        <v>17.77</v>
      </c>
      <c r="G64" s="31" t="str">
        <f>Source!DE32</f>
        <v>)*0,3</v>
      </c>
      <c r="H64" s="30">
        <f>ROUND(Source!AD32*Source!I32, 2)</f>
        <v>10.66</v>
      </c>
      <c r="I64" s="31"/>
      <c r="J64" s="31">
        <f>IF(Source!BB32&lt;&gt; 0, Source!BB32, 1)</f>
        <v>6.71</v>
      </c>
      <c r="K64" s="30">
        <f>Source!Q32</f>
        <v>71.53</v>
      </c>
      <c r="L64" s="32"/>
    </row>
    <row r="65" spans="1:26" ht="14.25" x14ac:dyDescent="0.2">
      <c r="A65" s="45"/>
      <c r="B65" s="46"/>
      <c r="C65" s="46" t="s">
        <v>1084</v>
      </c>
      <c r="D65" s="29"/>
      <c r="E65" s="11"/>
      <c r="F65" s="30">
        <f>Source!AN32</f>
        <v>2.5099999999999998</v>
      </c>
      <c r="G65" s="31" t="str">
        <f>Source!DF32</f>
        <v>)*0,3</v>
      </c>
      <c r="H65" s="33">
        <f>ROUND(Source!AE32*Source!I32, 2)</f>
        <v>1.5</v>
      </c>
      <c r="I65" s="31"/>
      <c r="J65" s="31">
        <f>IF(Source!BS32&lt;&gt; 0, Source!BS32, 1)</f>
        <v>6.71</v>
      </c>
      <c r="K65" s="33">
        <f>Source!R32</f>
        <v>10.07</v>
      </c>
      <c r="L65" s="32"/>
      <c r="R65">
        <f>H65</f>
        <v>1.5</v>
      </c>
    </row>
    <row r="66" spans="1:26" ht="14.25" x14ac:dyDescent="0.2">
      <c r="A66" s="45"/>
      <c r="B66" s="46"/>
      <c r="C66" s="46" t="s">
        <v>1085</v>
      </c>
      <c r="D66" s="29" t="s">
        <v>1086</v>
      </c>
      <c r="E66" s="11">
        <f>Source!BZ32</f>
        <v>95</v>
      </c>
      <c r="F66" s="49"/>
      <c r="G66" s="31"/>
      <c r="H66" s="30">
        <f>SUM(S62:S68)</f>
        <v>6.82</v>
      </c>
      <c r="I66" s="34"/>
      <c r="J66" s="27">
        <f>Source!AT32</f>
        <v>95</v>
      </c>
      <c r="K66" s="30">
        <f>SUM(T62:T68)</f>
        <v>45.77</v>
      </c>
      <c r="L66" s="32"/>
    </row>
    <row r="67" spans="1:26" ht="14.25" x14ac:dyDescent="0.2">
      <c r="A67" s="45"/>
      <c r="B67" s="46"/>
      <c r="C67" s="46" t="s">
        <v>1087</v>
      </c>
      <c r="D67" s="29" t="s">
        <v>1086</v>
      </c>
      <c r="E67" s="11">
        <f>Source!CA32</f>
        <v>65</v>
      </c>
      <c r="F67" s="49"/>
      <c r="G67" s="31"/>
      <c r="H67" s="30">
        <f>SUM(U62:U68)</f>
        <v>4.67</v>
      </c>
      <c r="I67" s="34"/>
      <c r="J67" s="27">
        <f>Source!AU32</f>
        <v>65</v>
      </c>
      <c r="K67" s="30">
        <f>SUM(V62:V68)</f>
        <v>31.32</v>
      </c>
      <c r="L67" s="32"/>
    </row>
    <row r="68" spans="1:26" ht="14.25" x14ac:dyDescent="0.2">
      <c r="A68" s="47"/>
      <c r="B68" s="48"/>
      <c r="C68" s="48" t="s">
        <v>1088</v>
      </c>
      <c r="D68" s="35" t="s">
        <v>1089</v>
      </c>
      <c r="E68" s="36">
        <f>Source!AQ32</f>
        <v>0.9</v>
      </c>
      <c r="F68" s="37"/>
      <c r="G68" s="38" t="str">
        <f>Source!DI32</f>
        <v>)*0,3</v>
      </c>
      <c r="H68" s="37"/>
      <c r="I68" s="38"/>
      <c r="J68" s="38"/>
      <c r="K68" s="37"/>
      <c r="L68" s="39">
        <f>Source!U32</f>
        <v>0.54</v>
      </c>
    </row>
    <row r="69" spans="1:26" ht="15" x14ac:dyDescent="0.25">
      <c r="G69" s="69">
        <f>H63+H64+H66+H67</f>
        <v>27.83</v>
      </c>
      <c r="H69" s="69"/>
      <c r="J69" s="69">
        <f>K63+K64+K66+K67</f>
        <v>186.73</v>
      </c>
      <c r="K69" s="69"/>
      <c r="L69" s="40">
        <f>Source!U32</f>
        <v>0.54</v>
      </c>
      <c r="O69" s="24">
        <f>G69</f>
        <v>27.83</v>
      </c>
      <c r="P69" s="24">
        <f>J69</f>
        <v>186.73</v>
      </c>
      <c r="Q69" s="24">
        <f>L69</f>
        <v>0.54</v>
      </c>
      <c r="W69">
        <f>IF(Source!BI32&lt;=1,H63+H64+H66+H67, 0)</f>
        <v>0</v>
      </c>
      <c r="X69">
        <f>IF(Source!BI32=2,H63+H64+H66+H67, 0)</f>
        <v>27.83</v>
      </c>
      <c r="Y69">
        <f>IF(Source!BI32=3,H63+H64+H66+H67, 0)</f>
        <v>0</v>
      </c>
      <c r="Z69">
        <f>IF(Source!BI32=4,H63+H64+H66+H67, 0)</f>
        <v>0</v>
      </c>
    </row>
    <row r="70" spans="1:26" ht="28.5" x14ac:dyDescent="0.2">
      <c r="A70" s="45" t="str">
        <f>Source!E33</f>
        <v>6</v>
      </c>
      <c r="B70" s="46" t="str">
        <f>Source!F33</f>
        <v>м08-02-390-01</v>
      </c>
      <c r="C70" s="46" t="str">
        <f>Source!G33</f>
        <v>Демонтаж:Короба пластмассовые шириной до 40 мм</v>
      </c>
      <c r="D70" s="29" t="str">
        <f>Source!H33</f>
        <v>100 м</v>
      </c>
      <c r="E70" s="11">
        <f>Source!I33</f>
        <v>1.1499999999999999</v>
      </c>
      <c r="F70" s="30">
        <f>Source!AL33+Source!AM33+Source!AO33</f>
        <v>206.76</v>
      </c>
      <c r="G70" s="31"/>
      <c r="H70" s="30"/>
      <c r="I70" s="31" t="str">
        <f>Source!BO33</f>
        <v/>
      </c>
      <c r="J70" s="31"/>
      <c r="K70" s="30"/>
      <c r="L70" s="32"/>
      <c r="S70">
        <f>ROUND((Source!FX33/100)*((ROUND(Source!AF33*Source!I33, 2)+ROUND(Source!AE33*Source!I33, 2))), 2)</f>
        <v>50.83</v>
      </c>
      <c r="T70">
        <f>Source!X33</f>
        <v>341.02</v>
      </c>
      <c r="U70">
        <f>ROUND((Source!FY33/100)*((ROUND(Source!AF33*Source!I33, 2)+ROUND(Source!AE33*Source!I33, 2))), 2)</f>
        <v>34.78</v>
      </c>
      <c r="V70">
        <f>Source!Y33</f>
        <v>233.33</v>
      </c>
    </row>
    <row r="71" spans="1:26" x14ac:dyDescent="0.2">
      <c r="C71" s="23" t="str">
        <f>"Объем: "&amp;Source!I33&amp;"=115/"&amp;"100"</f>
        <v>Объем: 1,15=115/100</v>
      </c>
    </row>
    <row r="72" spans="1:26" ht="14.25" x14ac:dyDescent="0.2">
      <c r="A72" s="45"/>
      <c r="B72" s="46"/>
      <c r="C72" s="46" t="s">
        <v>1083</v>
      </c>
      <c r="D72" s="29"/>
      <c r="E72" s="11"/>
      <c r="F72" s="30">
        <f>Source!AO33</f>
        <v>154.91999999999999</v>
      </c>
      <c r="G72" s="31" t="str">
        <f>Source!DG33</f>
        <v>)*0,3</v>
      </c>
      <c r="H72" s="30">
        <f>ROUND(Source!AF33*Source!I33, 2)</f>
        <v>53.45</v>
      </c>
      <c r="I72" s="31"/>
      <c r="J72" s="31">
        <f>IF(Source!BA33&lt;&gt; 0, Source!BA33, 1)</f>
        <v>6.71</v>
      </c>
      <c r="K72" s="30">
        <f>Source!S33</f>
        <v>358.66</v>
      </c>
      <c r="L72" s="32"/>
      <c r="R72">
        <f>H72</f>
        <v>53.45</v>
      </c>
    </row>
    <row r="73" spans="1:26" ht="14.25" x14ac:dyDescent="0.2">
      <c r="A73" s="45"/>
      <c r="B73" s="46"/>
      <c r="C73" s="46" t="s">
        <v>139</v>
      </c>
      <c r="D73" s="29"/>
      <c r="E73" s="11"/>
      <c r="F73" s="30">
        <f>Source!AM33</f>
        <v>0.31</v>
      </c>
      <c r="G73" s="31" t="str">
        <f>Source!DE33</f>
        <v>)*0,3</v>
      </c>
      <c r="H73" s="30">
        <f>ROUND(Source!AD33*Source!I33, 2)</f>
        <v>0.1</v>
      </c>
      <c r="I73" s="31"/>
      <c r="J73" s="31">
        <f>IF(Source!BB33&lt;&gt; 0, Source!BB33, 1)</f>
        <v>6.71</v>
      </c>
      <c r="K73" s="30">
        <f>Source!Q33</f>
        <v>0.69</v>
      </c>
      <c r="L73" s="32"/>
    </row>
    <row r="74" spans="1:26" ht="14.25" x14ac:dyDescent="0.2">
      <c r="A74" s="45"/>
      <c r="B74" s="46"/>
      <c r="C74" s="46" t="s">
        <v>1084</v>
      </c>
      <c r="D74" s="29"/>
      <c r="E74" s="11"/>
      <c r="F74" s="30">
        <f>Source!AN33</f>
        <v>0.14000000000000001</v>
      </c>
      <c r="G74" s="31" t="str">
        <f>Source!DF33</f>
        <v>)*0,3</v>
      </c>
      <c r="H74" s="33">
        <f>ROUND(Source!AE33*Source!I33, 2)</f>
        <v>0.05</v>
      </c>
      <c r="I74" s="31"/>
      <c r="J74" s="31">
        <f>IF(Source!BS33&lt;&gt; 0, Source!BS33, 1)</f>
        <v>6.71</v>
      </c>
      <c r="K74" s="33">
        <f>Source!R33</f>
        <v>0.31</v>
      </c>
      <c r="L74" s="32"/>
      <c r="R74">
        <f>H74</f>
        <v>0.05</v>
      </c>
    </row>
    <row r="75" spans="1:26" ht="14.25" x14ac:dyDescent="0.2">
      <c r="A75" s="45"/>
      <c r="B75" s="46"/>
      <c r="C75" s="46" t="s">
        <v>1085</v>
      </c>
      <c r="D75" s="29" t="s">
        <v>1086</v>
      </c>
      <c r="E75" s="11">
        <f>Source!BZ33</f>
        <v>95</v>
      </c>
      <c r="F75" s="49"/>
      <c r="G75" s="31"/>
      <c r="H75" s="30">
        <f>SUM(S70:S77)</f>
        <v>50.83</v>
      </c>
      <c r="I75" s="34"/>
      <c r="J75" s="27">
        <f>Source!AT33</f>
        <v>95</v>
      </c>
      <c r="K75" s="30">
        <f>SUM(T70:T77)</f>
        <v>341.02</v>
      </c>
      <c r="L75" s="32"/>
    </row>
    <row r="76" spans="1:26" ht="14.25" x14ac:dyDescent="0.2">
      <c r="A76" s="45"/>
      <c r="B76" s="46"/>
      <c r="C76" s="46" t="s">
        <v>1087</v>
      </c>
      <c r="D76" s="29" t="s">
        <v>1086</v>
      </c>
      <c r="E76" s="11">
        <f>Source!CA33</f>
        <v>65</v>
      </c>
      <c r="F76" s="49"/>
      <c r="G76" s="31"/>
      <c r="H76" s="30">
        <f>SUM(U70:U77)</f>
        <v>34.78</v>
      </c>
      <c r="I76" s="34"/>
      <c r="J76" s="27">
        <f>Source!AU33</f>
        <v>65</v>
      </c>
      <c r="K76" s="30">
        <f>SUM(V70:V77)</f>
        <v>233.33</v>
      </c>
      <c r="L76" s="32"/>
    </row>
    <row r="77" spans="1:26" ht="14.25" x14ac:dyDescent="0.2">
      <c r="A77" s="47"/>
      <c r="B77" s="48"/>
      <c r="C77" s="48" t="s">
        <v>1088</v>
      </c>
      <c r="D77" s="35" t="s">
        <v>1089</v>
      </c>
      <c r="E77" s="36">
        <f>Source!AQ33</f>
        <v>16.29</v>
      </c>
      <c r="F77" s="37"/>
      <c r="G77" s="38" t="str">
        <f>Source!DI33</f>
        <v>)*0,3</v>
      </c>
      <c r="H77" s="37"/>
      <c r="I77" s="38"/>
      <c r="J77" s="38"/>
      <c r="K77" s="37"/>
      <c r="L77" s="39">
        <f>Source!U33</f>
        <v>5.6200499999999991</v>
      </c>
    </row>
    <row r="78" spans="1:26" ht="15" x14ac:dyDescent="0.25">
      <c r="G78" s="69">
        <f>H72+H73+H75+H76</f>
        <v>139.16</v>
      </c>
      <c r="H78" s="69"/>
      <c r="J78" s="69">
        <f>K72+K73+K75+K76</f>
        <v>933.7</v>
      </c>
      <c r="K78" s="69"/>
      <c r="L78" s="40">
        <f>Source!U33</f>
        <v>5.6200499999999991</v>
      </c>
      <c r="O78" s="24">
        <f>G78</f>
        <v>139.16</v>
      </c>
      <c r="P78" s="24">
        <f>J78</f>
        <v>933.7</v>
      </c>
      <c r="Q78" s="24">
        <f>L78</f>
        <v>5.6200499999999991</v>
      </c>
      <c r="W78">
        <f>IF(Source!BI33&lt;=1,H72+H73+H75+H76, 0)</f>
        <v>0</v>
      </c>
      <c r="X78">
        <f>IF(Source!BI33=2,H72+H73+H75+H76, 0)</f>
        <v>139.16</v>
      </c>
      <c r="Y78">
        <f>IF(Source!BI33=3,H72+H73+H75+H76, 0)</f>
        <v>0</v>
      </c>
      <c r="Z78">
        <f>IF(Source!BI33=4,H72+H73+H75+H76, 0)</f>
        <v>0</v>
      </c>
    </row>
    <row r="79" spans="1:26" ht="57" x14ac:dyDescent="0.2">
      <c r="A79" s="45" t="str">
        <f>Source!E34</f>
        <v>7</v>
      </c>
      <c r="B79" s="46" t="str">
        <f>Source!F34</f>
        <v>м10-08-002-01</v>
      </c>
      <c r="C79" s="46" t="str">
        <f>Source!G34</f>
        <v>Демонтаж:ПС автоматический тепловой электро-контактный, магнитоконтактный в нормальном исполнении</v>
      </c>
      <c r="D79" s="29" t="str">
        <f>Source!H34</f>
        <v>ШТ</v>
      </c>
      <c r="E79" s="11">
        <f>Source!I34</f>
        <v>21</v>
      </c>
      <c r="F79" s="30">
        <f>Source!AL34+Source!AM34+Source!AO34</f>
        <v>9.36</v>
      </c>
      <c r="G79" s="31"/>
      <c r="H79" s="30"/>
      <c r="I79" s="31" t="str">
        <f>Source!BO34</f>
        <v/>
      </c>
      <c r="J79" s="31"/>
      <c r="K79" s="30"/>
      <c r="L79" s="32"/>
      <c r="S79">
        <f>ROUND((Source!FX34/100)*((ROUND(Source!AF34*Source!I34, 2)+ROUND(Source!AE34*Source!I34, 2))), 2)</f>
        <v>40.659999999999997</v>
      </c>
      <c r="T79">
        <f>Source!X34</f>
        <v>272.8</v>
      </c>
      <c r="U79">
        <f>ROUND((Source!FY34/100)*((ROUND(Source!AF34*Source!I34, 2)+ROUND(Source!AE34*Source!I34, 2))), 2)</f>
        <v>30.49</v>
      </c>
      <c r="V79">
        <f>Source!Y34</f>
        <v>204.6</v>
      </c>
    </row>
    <row r="80" spans="1:26" ht="14.25" x14ac:dyDescent="0.2">
      <c r="A80" s="45"/>
      <c r="B80" s="46"/>
      <c r="C80" s="46" t="s">
        <v>1083</v>
      </c>
      <c r="D80" s="29"/>
      <c r="E80" s="11"/>
      <c r="F80" s="30">
        <f>Source!AO34</f>
        <v>8.08</v>
      </c>
      <c r="G80" s="31" t="str">
        <f>Source!DG34</f>
        <v>)*0,3</v>
      </c>
      <c r="H80" s="30">
        <f>ROUND(Source!AF34*Source!I34, 2)</f>
        <v>50.82</v>
      </c>
      <c r="I80" s="31"/>
      <c r="J80" s="31">
        <f>IF(Source!BA34&lt;&gt; 0, Source!BA34, 1)</f>
        <v>6.71</v>
      </c>
      <c r="K80" s="30">
        <f>Source!S34</f>
        <v>341</v>
      </c>
      <c r="L80" s="32"/>
      <c r="R80">
        <f>H80</f>
        <v>50.82</v>
      </c>
    </row>
    <row r="81" spans="1:26" ht="14.25" x14ac:dyDescent="0.2">
      <c r="A81" s="45"/>
      <c r="B81" s="46"/>
      <c r="C81" s="46" t="s">
        <v>1085</v>
      </c>
      <c r="D81" s="29" t="s">
        <v>1086</v>
      </c>
      <c r="E81" s="11">
        <f>Source!BZ34</f>
        <v>80</v>
      </c>
      <c r="F81" s="49"/>
      <c r="G81" s="31"/>
      <c r="H81" s="30">
        <f>SUM(S79:S83)</f>
        <v>40.659999999999997</v>
      </c>
      <c r="I81" s="34"/>
      <c r="J81" s="27">
        <f>Source!AT34</f>
        <v>80</v>
      </c>
      <c r="K81" s="30">
        <f>SUM(T79:T83)</f>
        <v>272.8</v>
      </c>
      <c r="L81" s="32"/>
    </row>
    <row r="82" spans="1:26" ht="14.25" x14ac:dyDescent="0.2">
      <c r="A82" s="45"/>
      <c r="B82" s="46"/>
      <c r="C82" s="46" t="s">
        <v>1087</v>
      </c>
      <c r="D82" s="29" t="s">
        <v>1086</v>
      </c>
      <c r="E82" s="11">
        <f>Source!CA34</f>
        <v>60</v>
      </c>
      <c r="F82" s="49"/>
      <c r="G82" s="31"/>
      <c r="H82" s="30">
        <f>SUM(U79:U83)</f>
        <v>30.49</v>
      </c>
      <c r="I82" s="34"/>
      <c r="J82" s="27">
        <f>Source!AU34</f>
        <v>60</v>
      </c>
      <c r="K82" s="30">
        <f>SUM(V79:V83)</f>
        <v>204.6</v>
      </c>
      <c r="L82" s="32"/>
    </row>
    <row r="83" spans="1:26" ht="14.25" x14ac:dyDescent="0.2">
      <c r="A83" s="47"/>
      <c r="B83" s="48"/>
      <c r="C83" s="48" t="s">
        <v>1088</v>
      </c>
      <c r="D83" s="35" t="s">
        <v>1089</v>
      </c>
      <c r="E83" s="36">
        <f>Source!AQ34</f>
        <v>0.84</v>
      </c>
      <c r="F83" s="37"/>
      <c r="G83" s="38" t="str">
        <f>Source!DI34</f>
        <v>)*0,3</v>
      </c>
      <c r="H83" s="37"/>
      <c r="I83" s="38"/>
      <c r="J83" s="38"/>
      <c r="K83" s="37"/>
      <c r="L83" s="39">
        <f>Source!U34</f>
        <v>5.2919999999999998</v>
      </c>
    </row>
    <row r="84" spans="1:26" ht="15" x14ac:dyDescent="0.25">
      <c r="G84" s="69">
        <f>H80+H81+H82</f>
        <v>121.96999999999998</v>
      </c>
      <c r="H84" s="69"/>
      <c r="J84" s="69">
        <f>K80+K81+K82</f>
        <v>818.4</v>
      </c>
      <c r="K84" s="69"/>
      <c r="L84" s="40">
        <f>Source!U34</f>
        <v>5.2919999999999998</v>
      </c>
      <c r="O84" s="24">
        <f>G84</f>
        <v>121.96999999999998</v>
      </c>
      <c r="P84" s="24">
        <f>J84</f>
        <v>818.4</v>
      </c>
      <c r="Q84" s="24">
        <f>L84</f>
        <v>5.2919999999999998</v>
      </c>
      <c r="W84">
        <f>IF(Source!BI34&lt;=1,H80+H81+H82, 0)</f>
        <v>0</v>
      </c>
      <c r="X84">
        <f>IF(Source!BI34=2,H80+H81+H82, 0)</f>
        <v>121.96999999999998</v>
      </c>
      <c r="Y84">
        <f>IF(Source!BI34=3,H80+H81+H82, 0)</f>
        <v>0</v>
      </c>
      <c r="Z84">
        <f>IF(Source!BI34=4,H80+H81+H82, 0)</f>
        <v>0</v>
      </c>
    </row>
    <row r="85" spans="1:26" ht="28.5" x14ac:dyDescent="0.2">
      <c r="A85" s="45" t="str">
        <f>Source!E35</f>
        <v>8</v>
      </c>
      <c r="B85" s="46" t="str">
        <f>Source!F35</f>
        <v>м10-04-101-07</v>
      </c>
      <c r="C85" s="46" t="str">
        <f>Source!G35</f>
        <v>Демонтаж:Громкоговоритель или звуковая колонка в помещении</v>
      </c>
      <c r="D85" s="29" t="str">
        <f>Source!H35</f>
        <v>ШТ</v>
      </c>
      <c r="E85" s="11">
        <f>Source!I35</f>
        <v>6</v>
      </c>
      <c r="F85" s="30">
        <f>Source!AL35+Source!AM35+Source!AO35</f>
        <v>30.770000000000003</v>
      </c>
      <c r="G85" s="31"/>
      <c r="H85" s="30"/>
      <c r="I85" s="31" t="str">
        <f>Source!BO35</f>
        <v/>
      </c>
      <c r="J85" s="31"/>
      <c r="K85" s="30"/>
      <c r="L85" s="32"/>
      <c r="S85">
        <f>ROUND((Source!FX35/100)*((ROUND(Source!AF35*Source!I35, 2)+ROUND(Source!AE35*Source!I35, 2))), 2)</f>
        <v>60.06</v>
      </c>
      <c r="T85">
        <f>Source!X35</f>
        <v>402.99</v>
      </c>
      <c r="U85">
        <f>ROUND((Source!FY35/100)*((ROUND(Source!AF35*Source!I35, 2)+ROUND(Source!AE35*Source!I35, 2))), 2)</f>
        <v>42.43</v>
      </c>
      <c r="V85">
        <f>Source!Y35</f>
        <v>284.72000000000003</v>
      </c>
    </row>
    <row r="86" spans="1:26" ht="14.25" x14ac:dyDescent="0.2">
      <c r="A86" s="45"/>
      <c r="B86" s="46"/>
      <c r="C86" s="46" t="s">
        <v>1083</v>
      </c>
      <c r="D86" s="29"/>
      <c r="E86" s="11"/>
      <c r="F86" s="30">
        <f>Source!AO35</f>
        <v>18.14</v>
      </c>
      <c r="G86" s="31" t="str">
        <f>Source!DG35</f>
        <v>)*0,6</v>
      </c>
      <c r="H86" s="30">
        <f>ROUND(Source!AF35*Source!I35, 2)</f>
        <v>65.28</v>
      </c>
      <c r="I86" s="31"/>
      <c r="J86" s="31">
        <f>IF(Source!BA35&lt;&gt; 0, Source!BA35, 1)</f>
        <v>6.71</v>
      </c>
      <c r="K86" s="30">
        <f>Source!S35</f>
        <v>438.03</v>
      </c>
      <c r="L86" s="32"/>
      <c r="R86">
        <f>H86</f>
        <v>65.28</v>
      </c>
    </row>
    <row r="87" spans="1:26" ht="14.25" x14ac:dyDescent="0.2">
      <c r="A87" s="45"/>
      <c r="B87" s="46"/>
      <c r="C87" s="46" t="s">
        <v>1085</v>
      </c>
      <c r="D87" s="29" t="s">
        <v>1086</v>
      </c>
      <c r="E87" s="11">
        <f>Source!BZ35</f>
        <v>92</v>
      </c>
      <c r="F87" s="49"/>
      <c r="G87" s="31"/>
      <c r="H87" s="30">
        <f>SUM(S85:S89)</f>
        <v>60.06</v>
      </c>
      <c r="I87" s="34"/>
      <c r="J87" s="27">
        <f>Source!AT35</f>
        <v>92</v>
      </c>
      <c r="K87" s="30">
        <f>SUM(T85:T89)</f>
        <v>402.99</v>
      </c>
      <c r="L87" s="32"/>
    </row>
    <row r="88" spans="1:26" ht="14.25" x14ac:dyDescent="0.2">
      <c r="A88" s="45"/>
      <c r="B88" s="46"/>
      <c r="C88" s="46" t="s">
        <v>1087</v>
      </c>
      <c r="D88" s="29" t="s">
        <v>1086</v>
      </c>
      <c r="E88" s="11">
        <f>Source!CA35</f>
        <v>65</v>
      </c>
      <c r="F88" s="49"/>
      <c r="G88" s="31"/>
      <c r="H88" s="30">
        <f>SUM(U85:U89)</f>
        <v>42.43</v>
      </c>
      <c r="I88" s="34"/>
      <c r="J88" s="27">
        <f>Source!AU35</f>
        <v>65</v>
      </c>
      <c r="K88" s="30">
        <f>SUM(V85:V89)</f>
        <v>284.72000000000003</v>
      </c>
      <c r="L88" s="32"/>
    </row>
    <row r="89" spans="1:26" ht="14.25" x14ac:dyDescent="0.2">
      <c r="A89" s="47"/>
      <c r="B89" s="48"/>
      <c r="C89" s="48" t="s">
        <v>1088</v>
      </c>
      <c r="D89" s="35" t="s">
        <v>1089</v>
      </c>
      <c r="E89" s="36">
        <f>Source!AQ35</f>
        <v>2</v>
      </c>
      <c r="F89" s="37"/>
      <c r="G89" s="38" t="str">
        <f>Source!DI35</f>
        <v>)*0,6</v>
      </c>
      <c r="H89" s="37"/>
      <c r="I89" s="38"/>
      <c r="J89" s="38"/>
      <c r="K89" s="37"/>
      <c r="L89" s="39">
        <f>Source!U35</f>
        <v>7.1999999999999993</v>
      </c>
    </row>
    <row r="90" spans="1:26" ht="15" x14ac:dyDescent="0.25">
      <c r="G90" s="69">
        <f>H86+H87+H88</f>
        <v>167.77</v>
      </c>
      <c r="H90" s="69"/>
      <c r="J90" s="69">
        <f>K86+K87+K88</f>
        <v>1125.74</v>
      </c>
      <c r="K90" s="69"/>
      <c r="L90" s="40">
        <f>Source!U35</f>
        <v>7.1999999999999993</v>
      </c>
      <c r="O90" s="24">
        <f>G90</f>
        <v>167.77</v>
      </c>
      <c r="P90" s="24">
        <f>J90</f>
        <v>1125.74</v>
      </c>
      <c r="Q90" s="24">
        <f>L90</f>
        <v>7.1999999999999993</v>
      </c>
      <c r="W90">
        <f>IF(Source!BI35&lt;=1,H86+H87+H88, 0)</f>
        <v>0</v>
      </c>
      <c r="X90">
        <f>IF(Source!BI35=2,H86+H87+H88, 0)</f>
        <v>167.77</v>
      </c>
      <c r="Y90">
        <f>IF(Source!BI35=3,H86+H87+H88, 0)</f>
        <v>0</v>
      </c>
      <c r="Z90">
        <f>IF(Source!BI35=4,H86+H87+H88, 0)</f>
        <v>0</v>
      </c>
    </row>
    <row r="91" spans="1:26" ht="28.5" x14ac:dyDescent="0.2">
      <c r="A91" s="45" t="str">
        <f>Source!E36</f>
        <v>9</v>
      </c>
      <c r="B91" s="46" t="str">
        <f>Source!F36</f>
        <v>57-2-2</v>
      </c>
      <c r="C91" s="46" t="str">
        <f>Source!G36</f>
        <v>Разборка покрытий полов из плиток поливинилхлоридных</v>
      </c>
      <c r="D91" s="29" t="str">
        <f>Source!H36</f>
        <v>100 м2</v>
      </c>
      <c r="E91" s="11">
        <f>Source!I36</f>
        <v>1.5</v>
      </c>
      <c r="F91" s="30">
        <f>Source!AL36+Source!AM36+Source!AO36</f>
        <v>280.88</v>
      </c>
      <c r="G91" s="31"/>
      <c r="H91" s="30"/>
      <c r="I91" s="31" t="str">
        <f>Source!BO36</f>
        <v/>
      </c>
      <c r="J91" s="31"/>
      <c r="K91" s="30"/>
      <c r="L91" s="32"/>
      <c r="S91">
        <f>ROUND((Source!FX36/100)*((ROUND(Source!AF36*Source!I36, 2)+ROUND(Source!AE36*Source!I36, 2))), 2)</f>
        <v>334.3</v>
      </c>
      <c r="T91">
        <f>Source!X36</f>
        <v>2243.12</v>
      </c>
      <c r="U91">
        <f>ROUND((Source!FY36/100)*((ROUND(Source!AF36*Source!I36, 2)+ROUND(Source!AE36*Source!I36, 2))), 2)</f>
        <v>284.14999999999998</v>
      </c>
      <c r="V91">
        <f>Source!Y36</f>
        <v>1906.65</v>
      </c>
    </row>
    <row r="92" spans="1:26" x14ac:dyDescent="0.2">
      <c r="C92" s="23" t="str">
        <f>"Объем: "&amp;Source!I36&amp;"=150/"&amp;"100"</f>
        <v>Объем: 1,5=150/100</v>
      </c>
    </row>
    <row r="93" spans="1:26" ht="14.25" x14ac:dyDescent="0.2">
      <c r="A93" s="45"/>
      <c r="B93" s="46"/>
      <c r="C93" s="46" t="s">
        <v>1083</v>
      </c>
      <c r="D93" s="29"/>
      <c r="E93" s="11"/>
      <c r="F93" s="30">
        <f>Source!AO36</f>
        <v>276.82</v>
      </c>
      <c r="G93" s="31" t="str">
        <f>Source!DG36</f>
        <v/>
      </c>
      <c r="H93" s="30">
        <f>ROUND(Source!AF36*Source!I36, 2)</f>
        <v>415.23</v>
      </c>
      <c r="I93" s="31"/>
      <c r="J93" s="31">
        <f>IF(Source!BA36&lt;&gt; 0, Source!BA36, 1)</f>
        <v>6.71</v>
      </c>
      <c r="K93" s="30">
        <f>Source!S36</f>
        <v>2786.19</v>
      </c>
      <c r="L93" s="32"/>
      <c r="R93">
        <f>H93</f>
        <v>415.23</v>
      </c>
    </row>
    <row r="94" spans="1:26" ht="14.25" x14ac:dyDescent="0.2">
      <c r="A94" s="45"/>
      <c r="B94" s="46"/>
      <c r="C94" s="46" t="s">
        <v>139</v>
      </c>
      <c r="D94" s="29"/>
      <c r="E94" s="11"/>
      <c r="F94" s="30">
        <f>Source!AM36</f>
        <v>4.0599999999999996</v>
      </c>
      <c r="G94" s="31" t="str">
        <f>Source!DE36</f>
        <v/>
      </c>
      <c r="H94" s="30">
        <f>ROUND(Source!AD36*Source!I36, 2)</f>
        <v>6.09</v>
      </c>
      <c r="I94" s="31"/>
      <c r="J94" s="31">
        <f>IF(Source!BB36&lt;&gt; 0, Source!BB36, 1)</f>
        <v>6.71</v>
      </c>
      <c r="K94" s="30">
        <f>Source!Q36</f>
        <v>40.86</v>
      </c>
      <c r="L94" s="32"/>
    </row>
    <row r="95" spans="1:26" ht="14.25" x14ac:dyDescent="0.2">
      <c r="A95" s="45"/>
      <c r="B95" s="46"/>
      <c r="C95" s="46" t="s">
        <v>1084</v>
      </c>
      <c r="D95" s="29"/>
      <c r="E95" s="11"/>
      <c r="F95" s="30">
        <f>Source!AN36</f>
        <v>1.76</v>
      </c>
      <c r="G95" s="31" t="str">
        <f>Source!DF36</f>
        <v/>
      </c>
      <c r="H95" s="33">
        <f>ROUND(Source!AE36*Source!I36, 2)</f>
        <v>2.64</v>
      </c>
      <c r="I95" s="31"/>
      <c r="J95" s="31">
        <f>IF(Source!BS36&lt;&gt; 0, Source!BS36, 1)</f>
        <v>6.71</v>
      </c>
      <c r="K95" s="33">
        <f>Source!R36</f>
        <v>17.71</v>
      </c>
      <c r="L95" s="32"/>
      <c r="R95">
        <f>H95</f>
        <v>2.64</v>
      </c>
    </row>
    <row r="96" spans="1:26" ht="14.25" x14ac:dyDescent="0.2">
      <c r="A96" s="45"/>
      <c r="B96" s="46"/>
      <c r="C96" s="46" t="s">
        <v>1085</v>
      </c>
      <c r="D96" s="29" t="s">
        <v>1086</v>
      </c>
      <c r="E96" s="11">
        <f>Source!BZ36</f>
        <v>80</v>
      </c>
      <c r="F96" s="49"/>
      <c r="G96" s="31"/>
      <c r="H96" s="30">
        <f>SUM(S91:S98)</f>
        <v>334.3</v>
      </c>
      <c r="I96" s="34"/>
      <c r="J96" s="27">
        <f>Source!AT36</f>
        <v>80</v>
      </c>
      <c r="K96" s="30">
        <f>SUM(T91:T98)</f>
        <v>2243.12</v>
      </c>
      <c r="L96" s="32"/>
    </row>
    <row r="97" spans="1:26" ht="14.25" x14ac:dyDescent="0.2">
      <c r="A97" s="45"/>
      <c r="B97" s="46"/>
      <c r="C97" s="46" t="s">
        <v>1087</v>
      </c>
      <c r="D97" s="29" t="s">
        <v>1086</v>
      </c>
      <c r="E97" s="11">
        <f>Source!CA36</f>
        <v>68</v>
      </c>
      <c r="F97" s="49"/>
      <c r="G97" s="31"/>
      <c r="H97" s="30">
        <f>SUM(U91:U98)</f>
        <v>284.14999999999998</v>
      </c>
      <c r="I97" s="34"/>
      <c r="J97" s="27">
        <f>Source!AU36</f>
        <v>68</v>
      </c>
      <c r="K97" s="30">
        <f>SUM(V91:V98)</f>
        <v>1906.65</v>
      </c>
      <c r="L97" s="32"/>
    </row>
    <row r="98" spans="1:26" ht="14.25" x14ac:dyDescent="0.2">
      <c r="A98" s="47"/>
      <c r="B98" s="48"/>
      <c r="C98" s="48" t="s">
        <v>1088</v>
      </c>
      <c r="D98" s="35" t="s">
        <v>1089</v>
      </c>
      <c r="E98" s="36">
        <f>Source!AQ36</f>
        <v>35.49</v>
      </c>
      <c r="F98" s="37"/>
      <c r="G98" s="38" t="str">
        <f>Source!DI36</f>
        <v/>
      </c>
      <c r="H98" s="37"/>
      <c r="I98" s="38"/>
      <c r="J98" s="38"/>
      <c r="K98" s="37"/>
      <c r="L98" s="39">
        <f>Source!U36</f>
        <v>53.234999999999999</v>
      </c>
    </row>
    <row r="99" spans="1:26" ht="15" x14ac:dyDescent="0.25">
      <c r="G99" s="69">
        <f>H93+H94+H96+H97</f>
        <v>1039.77</v>
      </c>
      <c r="H99" s="69"/>
      <c r="J99" s="69">
        <f>K93+K94+K96+K97</f>
        <v>6976.82</v>
      </c>
      <c r="K99" s="69"/>
      <c r="L99" s="40">
        <f>Source!U36</f>
        <v>53.234999999999999</v>
      </c>
      <c r="O99" s="24">
        <f>G99</f>
        <v>1039.77</v>
      </c>
      <c r="P99" s="24">
        <f>J99</f>
        <v>6976.82</v>
      </c>
      <c r="Q99" s="24">
        <f>L99</f>
        <v>53.234999999999999</v>
      </c>
      <c r="W99">
        <f>IF(Source!BI36&lt;=1,H93+H94+H96+H97, 0)</f>
        <v>1039.77</v>
      </c>
      <c r="X99">
        <f>IF(Source!BI36=2,H93+H94+H96+H97, 0)</f>
        <v>0</v>
      </c>
      <c r="Y99">
        <f>IF(Source!BI36=3,H93+H94+H96+H97, 0)</f>
        <v>0</v>
      </c>
      <c r="Z99">
        <f>IF(Source!BI36=4,H93+H94+H96+H97, 0)</f>
        <v>0</v>
      </c>
    </row>
    <row r="100" spans="1:26" ht="28.5" x14ac:dyDescent="0.2">
      <c r="A100" s="45" t="str">
        <f>Source!E37</f>
        <v>10</v>
      </c>
      <c r="B100" s="46" t="str">
        <f>Source!F37</f>
        <v>11-01-011-01</v>
      </c>
      <c r="C100" s="46" t="str">
        <f>Source!G37</f>
        <v>Демонтаж: Устройство стяжек цементных толщиной 20 мм</v>
      </c>
      <c r="D100" s="29" t="str">
        <f>Source!H37</f>
        <v>100 м2</v>
      </c>
      <c r="E100" s="11">
        <f>Source!I37</f>
        <v>1.663</v>
      </c>
      <c r="F100" s="30">
        <f>Source!AL37+Source!AM37+Source!AO37</f>
        <v>366.49</v>
      </c>
      <c r="G100" s="31"/>
      <c r="H100" s="30"/>
      <c r="I100" s="31" t="str">
        <f>Source!BO37</f>
        <v/>
      </c>
      <c r="J100" s="31"/>
      <c r="K100" s="30"/>
      <c r="L100" s="32"/>
      <c r="S100">
        <f>ROUND((Source!FX37/100)*((ROUND(Source!AF37*Source!I37, 2)+ROUND(Source!AE37*Source!I37, 2))), 2)</f>
        <v>487.28</v>
      </c>
      <c r="T100">
        <f>Source!X37</f>
        <v>3278.51</v>
      </c>
      <c r="U100">
        <f>ROUND((Source!FY37/100)*((ROUND(Source!AF37*Source!I37, 2)+ROUND(Source!AE37*Source!I37, 2))), 2)</f>
        <v>280.61</v>
      </c>
      <c r="V100">
        <f>Source!Y37</f>
        <v>1890.31</v>
      </c>
    </row>
    <row r="101" spans="1:26" x14ac:dyDescent="0.2">
      <c r="C101" s="23" t="str">
        <f>"Объем: "&amp;Source!I37&amp;"=166,3/"&amp;"100"</f>
        <v>Объем: 1,663=166,3/100</v>
      </c>
    </row>
    <row r="102" spans="1:26" ht="14.25" x14ac:dyDescent="0.2">
      <c r="A102" s="45"/>
      <c r="B102" s="46"/>
      <c r="C102" s="46" t="s">
        <v>1083</v>
      </c>
      <c r="D102" s="29"/>
      <c r="E102" s="11"/>
      <c r="F102" s="30">
        <f>Source!AO37</f>
        <v>313.70999999999998</v>
      </c>
      <c r="G102" s="31" t="str">
        <f>Source!DG37</f>
        <v>)*0,8</v>
      </c>
      <c r="H102" s="30">
        <f>ROUND(Source!AF37*Source!I37, 2)</f>
        <v>417.36</v>
      </c>
      <c r="I102" s="31"/>
      <c r="J102" s="31">
        <f>IF(Source!BA37&lt;&gt; 0, Source!BA37, 1)</f>
        <v>6.71</v>
      </c>
      <c r="K102" s="30">
        <f>Source!S37</f>
        <v>2800.51</v>
      </c>
      <c r="L102" s="32"/>
      <c r="R102">
        <f>H102</f>
        <v>417.36</v>
      </c>
    </row>
    <row r="103" spans="1:26" ht="14.25" x14ac:dyDescent="0.2">
      <c r="A103" s="45"/>
      <c r="B103" s="46"/>
      <c r="C103" s="46" t="s">
        <v>139</v>
      </c>
      <c r="D103" s="29"/>
      <c r="E103" s="11"/>
      <c r="F103" s="30">
        <f>Source!AM37</f>
        <v>44.24</v>
      </c>
      <c r="G103" s="31" t="str">
        <f>Source!DE37</f>
        <v>)*0,8</v>
      </c>
      <c r="H103" s="30">
        <f>ROUND(Source!AD37*Source!I37, 2)</f>
        <v>58.85</v>
      </c>
      <c r="I103" s="31"/>
      <c r="J103" s="31">
        <f>IF(Source!BB37&lt;&gt; 0, Source!BB37, 1)</f>
        <v>6.71</v>
      </c>
      <c r="K103" s="30">
        <f>Source!Q37</f>
        <v>394.91</v>
      </c>
      <c r="L103" s="32"/>
    </row>
    <row r="104" spans="1:26" ht="14.25" x14ac:dyDescent="0.2">
      <c r="A104" s="45"/>
      <c r="B104" s="46"/>
      <c r="C104" s="46" t="s">
        <v>1084</v>
      </c>
      <c r="D104" s="29"/>
      <c r="E104" s="11"/>
      <c r="F104" s="30">
        <f>Source!AN37</f>
        <v>17.149999999999999</v>
      </c>
      <c r="G104" s="31" t="str">
        <f>Source!DF37</f>
        <v>)*0,8</v>
      </c>
      <c r="H104" s="33">
        <f>ROUND(Source!AE37*Source!I37, 2)</f>
        <v>22.82</v>
      </c>
      <c r="I104" s="31"/>
      <c r="J104" s="31">
        <f>IF(Source!BS37&lt;&gt; 0, Source!BS37, 1)</f>
        <v>6.71</v>
      </c>
      <c r="K104" s="33">
        <f>Source!R37</f>
        <v>153.1</v>
      </c>
      <c r="L104" s="32"/>
      <c r="R104">
        <f>H104</f>
        <v>22.82</v>
      </c>
    </row>
    <row r="105" spans="1:26" ht="14.25" x14ac:dyDescent="0.2">
      <c r="A105" s="45"/>
      <c r="B105" s="46"/>
      <c r="C105" s="46" t="s">
        <v>1085</v>
      </c>
      <c r="D105" s="29" t="s">
        <v>1086</v>
      </c>
      <c r="E105" s="11">
        <f>Source!BZ37</f>
        <v>123</v>
      </c>
      <c r="F105" s="72" t="str">
        <f>CONCATENATE(" )", Source!DL37, Source!FT37, "=", Source!FX37)</f>
        <v xml:space="preserve"> )*0,9=110,7</v>
      </c>
      <c r="G105" s="73"/>
      <c r="H105" s="30">
        <f>SUM(S100:S107)</f>
        <v>487.28</v>
      </c>
      <c r="I105" s="34"/>
      <c r="J105" s="27">
        <f>Source!AT37</f>
        <v>111</v>
      </c>
      <c r="K105" s="30">
        <f>SUM(T100:T107)</f>
        <v>3278.51</v>
      </c>
      <c r="L105" s="32"/>
    </row>
    <row r="106" spans="1:26" ht="14.25" x14ac:dyDescent="0.2">
      <c r="A106" s="45"/>
      <c r="B106" s="46"/>
      <c r="C106" s="46" t="s">
        <v>1087</v>
      </c>
      <c r="D106" s="29" t="s">
        <v>1086</v>
      </c>
      <c r="E106" s="11">
        <f>Source!CA37</f>
        <v>75</v>
      </c>
      <c r="F106" s="72" t="str">
        <f>CONCATENATE(" )", Source!DM37, Source!FU37, "=", Source!FY37)</f>
        <v xml:space="preserve"> )*0,85=63,75</v>
      </c>
      <c r="G106" s="73"/>
      <c r="H106" s="30">
        <f>SUM(U100:U107)</f>
        <v>280.61</v>
      </c>
      <c r="I106" s="34"/>
      <c r="J106" s="27">
        <f>Source!AU37</f>
        <v>64</v>
      </c>
      <c r="K106" s="30">
        <f>SUM(V100:V107)</f>
        <v>1890.31</v>
      </c>
      <c r="L106" s="32"/>
    </row>
    <row r="107" spans="1:26" ht="14.25" x14ac:dyDescent="0.2">
      <c r="A107" s="47"/>
      <c r="B107" s="48"/>
      <c r="C107" s="48" t="s">
        <v>1088</v>
      </c>
      <c r="D107" s="35" t="s">
        <v>1089</v>
      </c>
      <c r="E107" s="36">
        <f>Source!AQ37</f>
        <v>39.51</v>
      </c>
      <c r="F107" s="37"/>
      <c r="G107" s="38" t="str">
        <f>Source!DI37</f>
        <v>)*0,8</v>
      </c>
      <c r="H107" s="37"/>
      <c r="I107" s="38"/>
      <c r="J107" s="38"/>
      <c r="K107" s="37"/>
      <c r="L107" s="39">
        <f>Source!U37</f>
        <v>52.564104</v>
      </c>
    </row>
    <row r="108" spans="1:26" ht="15" x14ac:dyDescent="0.25">
      <c r="G108" s="69">
        <f>H102+H103+H105+H106</f>
        <v>1244.0999999999999</v>
      </c>
      <c r="H108" s="69"/>
      <c r="J108" s="69">
        <f>K102+K103+K105+K106</f>
        <v>8364.24</v>
      </c>
      <c r="K108" s="69"/>
      <c r="L108" s="40">
        <f>Source!U37</f>
        <v>52.564104</v>
      </c>
      <c r="O108" s="24">
        <f>G108</f>
        <v>1244.0999999999999</v>
      </c>
      <c r="P108" s="24">
        <f>J108</f>
        <v>8364.24</v>
      </c>
      <c r="Q108" s="24">
        <f>L108</f>
        <v>52.564104</v>
      </c>
      <c r="W108">
        <f>IF(Source!BI37&lt;=1,H102+H103+H105+H106, 0)</f>
        <v>1244.0999999999999</v>
      </c>
      <c r="X108">
        <f>IF(Source!BI37=2,H102+H103+H105+H106, 0)</f>
        <v>0</v>
      </c>
      <c r="Y108">
        <f>IF(Source!BI37=3,H102+H103+H105+H106, 0)</f>
        <v>0</v>
      </c>
      <c r="Z108">
        <f>IF(Source!BI37=4,H102+H103+H105+H106, 0)</f>
        <v>0</v>
      </c>
    </row>
    <row r="109" spans="1:26" ht="28.5" x14ac:dyDescent="0.2">
      <c r="A109" s="45" t="str">
        <f>Source!E38</f>
        <v>11</v>
      </c>
      <c r="B109" s="46" t="str">
        <f>Source!F38</f>
        <v>57-3-1</v>
      </c>
      <c r="C109" s="46" t="str">
        <f>Source!G38</f>
        <v>Разборка плинтусов деревянных и из пластмассовых материалов</v>
      </c>
      <c r="D109" s="29" t="str">
        <f>Source!H38</f>
        <v>100 м</v>
      </c>
      <c r="E109" s="11">
        <f>Source!I38</f>
        <v>1.373</v>
      </c>
      <c r="F109" s="30">
        <f>Source!AL38+Source!AM38+Source!AO38</f>
        <v>29.41</v>
      </c>
      <c r="G109" s="31"/>
      <c r="H109" s="30"/>
      <c r="I109" s="31" t="str">
        <f>Source!BO38</f>
        <v/>
      </c>
      <c r="J109" s="31"/>
      <c r="K109" s="30"/>
      <c r="L109" s="32"/>
      <c r="S109">
        <f>ROUND((Source!FX38/100)*((ROUND(Source!AF38*Source!I38, 2)+ROUND(Source!AE38*Source!I38, 2))), 2)</f>
        <v>32.299999999999997</v>
      </c>
      <c r="T109">
        <f>Source!X38</f>
        <v>216.76</v>
      </c>
      <c r="U109">
        <f>ROUND((Source!FY38/100)*((ROUND(Source!AF38*Source!I38, 2)+ROUND(Source!AE38*Source!I38, 2))), 2)</f>
        <v>27.46</v>
      </c>
      <c r="V109">
        <f>Source!Y38</f>
        <v>184.25</v>
      </c>
    </row>
    <row r="110" spans="1:26" x14ac:dyDescent="0.2">
      <c r="C110" s="23" t="str">
        <f>"Объем: "&amp;Source!I38&amp;"=137,3/"&amp;"100"</f>
        <v>Объем: 1,373=137,3/100</v>
      </c>
    </row>
    <row r="111" spans="1:26" ht="14.25" x14ac:dyDescent="0.2">
      <c r="A111" s="45"/>
      <c r="B111" s="46"/>
      <c r="C111" s="46" t="s">
        <v>1083</v>
      </c>
      <c r="D111" s="29"/>
      <c r="E111" s="11"/>
      <c r="F111" s="30">
        <f>Source!AO38</f>
        <v>29.41</v>
      </c>
      <c r="G111" s="31" t="str">
        <f>Source!DG38</f>
        <v/>
      </c>
      <c r="H111" s="30">
        <f>ROUND(Source!AF38*Source!I38, 2)</f>
        <v>40.380000000000003</v>
      </c>
      <c r="I111" s="31"/>
      <c r="J111" s="31">
        <f>IF(Source!BA38&lt;&gt; 0, Source!BA38, 1)</f>
        <v>6.71</v>
      </c>
      <c r="K111" s="30">
        <f>Source!S38</f>
        <v>270.95</v>
      </c>
      <c r="L111" s="32"/>
      <c r="R111">
        <f>H111</f>
        <v>40.380000000000003</v>
      </c>
    </row>
    <row r="112" spans="1:26" ht="14.25" x14ac:dyDescent="0.2">
      <c r="A112" s="45"/>
      <c r="B112" s="46"/>
      <c r="C112" s="46" t="s">
        <v>1085</v>
      </c>
      <c r="D112" s="29" t="s">
        <v>1086</v>
      </c>
      <c r="E112" s="11">
        <f>Source!BZ38</f>
        <v>80</v>
      </c>
      <c r="F112" s="49"/>
      <c r="G112" s="31"/>
      <c r="H112" s="30">
        <f>SUM(S109:S114)</f>
        <v>32.299999999999997</v>
      </c>
      <c r="I112" s="34"/>
      <c r="J112" s="27">
        <f>Source!AT38</f>
        <v>80</v>
      </c>
      <c r="K112" s="30">
        <f>SUM(T109:T114)</f>
        <v>216.76</v>
      </c>
      <c r="L112" s="32"/>
    </row>
    <row r="113" spans="1:26" ht="14.25" x14ac:dyDescent="0.2">
      <c r="A113" s="45"/>
      <c r="B113" s="46"/>
      <c r="C113" s="46" t="s">
        <v>1087</v>
      </c>
      <c r="D113" s="29" t="s">
        <v>1086</v>
      </c>
      <c r="E113" s="11">
        <f>Source!CA38</f>
        <v>68</v>
      </c>
      <c r="F113" s="49"/>
      <c r="G113" s="31"/>
      <c r="H113" s="30">
        <f>SUM(U109:U114)</f>
        <v>27.46</v>
      </c>
      <c r="I113" s="34"/>
      <c r="J113" s="27">
        <f>Source!AU38</f>
        <v>68</v>
      </c>
      <c r="K113" s="30">
        <f>SUM(V109:V114)</f>
        <v>184.25</v>
      </c>
      <c r="L113" s="32"/>
    </row>
    <row r="114" spans="1:26" ht="14.25" x14ac:dyDescent="0.2">
      <c r="A114" s="47"/>
      <c r="B114" s="48"/>
      <c r="C114" s="48" t="s">
        <v>1088</v>
      </c>
      <c r="D114" s="35" t="s">
        <v>1089</v>
      </c>
      <c r="E114" s="36">
        <f>Source!AQ38</f>
        <v>3.77</v>
      </c>
      <c r="F114" s="37"/>
      <c r="G114" s="38" t="str">
        <f>Source!DI38</f>
        <v/>
      </c>
      <c r="H114" s="37"/>
      <c r="I114" s="38"/>
      <c r="J114" s="38"/>
      <c r="K114" s="37"/>
      <c r="L114" s="39">
        <f>Source!U38</f>
        <v>5.1762100000000002</v>
      </c>
    </row>
    <row r="115" spans="1:26" ht="15" x14ac:dyDescent="0.25">
      <c r="G115" s="69">
        <f>H111+H112+H113</f>
        <v>100.14000000000001</v>
      </c>
      <c r="H115" s="69"/>
      <c r="J115" s="69">
        <f>K111+K112+K113</f>
        <v>671.96</v>
      </c>
      <c r="K115" s="69"/>
      <c r="L115" s="40">
        <f>Source!U38</f>
        <v>5.1762100000000002</v>
      </c>
      <c r="O115" s="24">
        <f>G115</f>
        <v>100.14000000000001</v>
      </c>
      <c r="P115" s="24">
        <f>J115</f>
        <v>671.96</v>
      </c>
      <c r="Q115" s="24">
        <f>L115</f>
        <v>5.1762100000000002</v>
      </c>
      <c r="W115">
        <f>IF(Source!BI38&lt;=1,H111+H112+H113, 0)</f>
        <v>100.14000000000001</v>
      </c>
      <c r="X115">
        <f>IF(Source!BI38=2,H111+H112+H113, 0)</f>
        <v>0</v>
      </c>
      <c r="Y115">
        <f>IF(Source!BI38=3,H111+H112+H113, 0)</f>
        <v>0</v>
      </c>
      <c r="Z115">
        <f>IF(Source!BI38=4,H111+H112+H113, 0)</f>
        <v>0</v>
      </c>
    </row>
    <row r="116" spans="1:26" ht="28.5" x14ac:dyDescent="0.2">
      <c r="A116" s="45" t="str">
        <f>Source!E39</f>
        <v>12</v>
      </c>
      <c r="B116" s="46" t="str">
        <f>Source!F39</f>
        <v>63-7-5</v>
      </c>
      <c r="C116" s="46" t="str">
        <f>Source!G39</f>
        <v>Разборка облицовки стен из керамических глазурованных плиток</v>
      </c>
      <c r="D116" s="29" t="str">
        <f>Source!H39</f>
        <v>100 м2</v>
      </c>
      <c r="E116" s="11">
        <f>Source!I39</f>
        <v>4.4999999999999998E-2</v>
      </c>
      <c r="F116" s="30">
        <f>Source!AL39+Source!AM39+Source!AO39</f>
        <v>654</v>
      </c>
      <c r="G116" s="31"/>
      <c r="H116" s="30"/>
      <c r="I116" s="31" t="str">
        <f>Source!BO39</f>
        <v/>
      </c>
      <c r="J116" s="31"/>
      <c r="K116" s="30"/>
      <c r="L116" s="32"/>
      <c r="S116">
        <f>ROUND((Source!FX39/100)*((ROUND(Source!AF39*Source!I39, 2)+ROUND(Source!AE39*Source!I39, 2))), 2)</f>
        <v>20.420000000000002</v>
      </c>
      <c r="T116">
        <f>Source!X39</f>
        <v>137.05000000000001</v>
      </c>
      <c r="U116">
        <f>ROUND((Source!FY39/100)*((ROUND(Source!AF39*Source!I39, 2)+ROUND(Source!AE39*Source!I39, 2))), 2)</f>
        <v>13.26</v>
      </c>
      <c r="V116">
        <f>Source!Y39</f>
        <v>89</v>
      </c>
    </row>
    <row r="117" spans="1:26" x14ac:dyDescent="0.2">
      <c r="C117" s="23" t="str">
        <f>"Объем: "&amp;Source!I39&amp;"=4,5/"&amp;"100"</f>
        <v>Объем: 0,045=4,5/100</v>
      </c>
    </row>
    <row r="118" spans="1:26" ht="14.25" x14ac:dyDescent="0.2">
      <c r="A118" s="45"/>
      <c r="B118" s="46"/>
      <c r="C118" s="46" t="s">
        <v>1083</v>
      </c>
      <c r="D118" s="29"/>
      <c r="E118" s="11"/>
      <c r="F118" s="30">
        <f>Source!AO39</f>
        <v>584.74</v>
      </c>
      <c r="G118" s="31" t="str">
        <f>Source!DG39</f>
        <v/>
      </c>
      <c r="H118" s="30">
        <f>ROUND(Source!AF39*Source!I39, 2)</f>
        <v>26.31</v>
      </c>
      <c r="I118" s="31"/>
      <c r="J118" s="31">
        <f>IF(Source!BA39&lt;&gt; 0, Source!BA39, 1)</f>
        <v>6.71</v>
      </c>
      <c r="K118" s="30">
        <f>Source!S39</f>
        <v>176.56</v>
      </c>
      <c r="L118" s="32"/>
      <c r="R118">
        <f>H118</f>
        <v>26.31</v>
      </c>
    </row>
    <row r="119" spans="1:26" ht="14.25" x14ac:dyDescent="0.2">
      <c r="A119" s="45"/>
      <c r="B119" s="46"/>
      <c r="C119" s="46" t="s">
        <v>139</v>
      </c>
      <c r="D119" s="29"/>
      <c r="E119" s="11"/>
      <c r="F119" s="30">
        <f>Source!AM39</f>
        <v>69.260000000000005</v>
      </c>
      <c r="G119" s="31" t="str">
        <f>Source!DE39</f>
        <v/>
      </c>
      <c r="H119" s="30">
        <f>ROUND(Source!AD39*Source!I39, 2)</f>
        <v>3.12</v>
      </c>
      <c r="I119" s="31"/>
      <c r="J119" s="31">
        <f>IF(Source!BB39&lt;&gt; 0, Source!BB39, 1)</f>
        <v>6.71</v>
      </c>
      <c r="K119" s="30">
        <f>Source!Q39</f>
        <v>20.91</v>
      </c>
      <c r="L119" s="32"/>
    </row>
    <row r="120" spans="1:26" ht="14.25" x14ac:dyDescent="0.2">
      <c r="A120" s="45"/>
      <c r="B120" s="46"/>
      <c r="C120" s="46" t="s">
        <v>1084</v>
      </c>
      <c r="D120" s="29"/>
      <c r="E120" s="11"/>
      <c r="F120" s="30">
        <f>Source!AN39</f>
        <v>4.7300000000000004</v>
      </c>
      <c r="G120" s="31" t="str">
        <f>Source!DF39</f>
        <v/>
      </c>
      <c r="H120" s="33">
        <f>ROUND(Source!AE39*Source!I39, 2)</f>
        <v>0.21</v>
      </c>
      <c r="I120" s="31"/>
      <c r="J120" s="31">
        <f>IF(Source!BS39&lt;&gt; 0, Source!BS39, 1)</f>
        <v>6.71</v>
      </c>
      <c r="K120" s="33">
        <f>Source!R39</f>
        <v>1.43</v>
      </c>
      <c r="L120" s="32"/>
      <c r="R120">
        <f>H120</f>
        <v>0.21</v>
      </c>
    </row>
    <row r="121" spans="1:26" ht="14.25" x14ac:dyDescent="0.2">
      <c r="A121" s="45"/>
      <c r="B121" s="46"/>
      <c r="C121" s="46" t="s">
        <v>1085</v>
      </c>
      <c r="D121" s="29" t="s">
        <v>1086</v>
      </c>
      <c r="E121" s="11">
        <f>Source!BZ39</f>
        <v>77</v>
      </c>
      <c r="F121" s="49"/>
      <c r="G121" s="31"/>
      <c r="H121" s="30">
        <f>SUM(S116:S123)</f>
        <v>20.420000000000002</v>
      </c>
      <c r="I121" s="34"/>
      <c r="J121" s="27">
        <f>Source!AT39</f>
        <v>77</v>
      </c>
      <c r="K121" s="30">
        <f>SUM(T116:T123)</f>
        <v>137.05000000000001</v>
      </c>
      <c r="L121" s="32"/>
    </row>
    <row r="122" spans="1:26" ht="14.25" x14ac:dyDescent="0.2">
      <c r="A122" s="45"/>
      <c r="B122" s="46"/>
      <c r="C122" s="46" t="s">
        <v>1087</v>
      </c>
      <c r="D122" s="29" t="s">
        <v>1086</v>
      </c>
      <c r="E122" s="11">
        <f>Source!CA39</f>
        <v>50</v>
      </c>
      <c r="F122" s="49"/>
      <c r="G122" s="31"/>
      <c r="H122" s="30">
        <f>SUM(U116:U123)</f>
        <v>13.26</v>
      </c>
      <c r="I122" s="34"/>
      <c r="J122" s="27">
        <f>Source!AU39</f>
        <v>50</v>
      </c>
      <c r="K122" s="30">
        <f>SUM(V116:V123)</f>
        <v>89</v>
      </c>
      <c r="L122" s="32"/>
    </row>
    <row r="123" spans="1:26" ht="14.25" x14ac:dyDescent="0.2">
      <c r="A123" s="47"/>
      <c r="B123" s="48"/>
      <c r="C123" s="48" t="s">
        <v>1088</v>
      </c>
      <c r="D123" s="35" t="s">
        <v>1089</v>
      </c>
      <c r="E123" s="36">
        <f>Source!AQ39</f>
        <v>74.3</v>
      </c>
      <c r="F123" s="37"/>
      <c r="G123" s="38" t="str">
        <f>Source!DI39</f>
        <v/>
      </c>
      <c r="H123" s="37"/>
      <c r="I123" s="38"/>
      <c r="J123" s="38"/>
      <c r="K123" s="37"/>
      <c r="L123" s="39">
        <f>Source!U39</f>
        <v>3.3434999999999997</v>
      </c>
    </row>
    <row r="124" spans="1:26" ht="15" x14ac:dyDescent="0.25">
      <c r="G124" s="69">
        <f>H118+H119+H121+H122</f>
        <v>63.11</v>
      </c>
      <c r="H124" s="69"/>
      <c r="J124" s="69">
        <f>K118+K119+K121+K122</f>
        <v>423.52</v>
      </c>
      <c r="K124" s="69"/>
      <c r="L124" s="40">
        <f>Source!U39</f>
        <v>3.3434999999999997</v>
      </c>
      <c r="O124" s="24">
        <f>G124</f>
        <v>63.11</v>
      </c>
      <c r="P124" s="24">
        <f>J124</f>
        <v>423.52</v>
      </c>
      <c r="Q124" s="24">
        <f>L124</f>
        <v>3.3434999999999997</v>
      </c>
      <c r="W124">
        <f>IF(Source!BI39&lt;=1,H118+H119+H121+H122, 0)</f>
        <v>63.11</v>
      </c>
      <c r="X124">
        <f>IF(Source!BI39=2,H118+H119+H121+H122, 0)</f>
        <v>0</v>
      </c>
      <c r="Y124">
        <f>IF(Source!BI39=3,H118+H119+H121+H122, 0)</f>
        <v>0</v>
      </c>
      <c r="Z124">
        <f>IF(Source!BI39=4,H118+H119+H121+H122, 0)</f>
        <v>0</v>
      </c>
    </row>
    <row r="125" spans="1:26" ht="14.25" x14ac:dyDescent="0.2">
      <c r="A125" s="45" t="str">
        <f>Source!E40</f>
        <v>13</v>
      </c>
      <c r="B125" s="46" t="str">
        <f>Source!F40</f>
        <v>65-3-7</v>
      </c>
      <c r="C125" s="46" t="str">
        <f>Source!G40</f>
        <v>Снятие смесителя без душевой сетки</v>
      </c>
      <c r="D125" s="29" t="str">
        <f>Source!H40</f>
        <v>100 ШТ</v>
      </c>
      <c r="E125" s="11">
        <f>Source!I40</f>
        <v>0.03</v>
      </c>
      <c r="F125" s="30">
        <f>Source!AL40+Source!AM40+Source!AO40</f>
        <v>315.33</v>
      </c>
      <c r="G125" s="31"/>
      <c r="H125" s="30"/>
      <c r="I125" s="31" t="str">
        <f>Source!BO40</f>
        <v/>
      </c>
      <c r="J125" s="31"/>
      <c r="K125" s="30"/>
      <c r="L125" s="32"/>
      <c r="S125">
        <f>ROUND((Source!FX40/100)*((ROUND(Source!AF40*Source!I40, 2)+ROUND(Source!AE40*Source!I40, 2))), 2)</f>
        <v>6.97</v>
      </c>
      <c r="T125">
        <f>Source!X40</f>
        <v>46.79</v>
      </c>
      <c r="U125">
        <f>ROUND((Source!FY40/100)*((ROUND(Source!AF40*Source!I40, 2)+ROUND(Source!AE40*Source!I40, 2))), 2)</f>
        <v>4.71</v>
      </c>
      <c r="V125">
        <f>Source!Y40</f>
        <v>31.62</v>
      </c>
    </row>
    <row r="126" spans="1:26" x14ac:dyDescent="0.2">
      <c r="C126" s="23" t="str">
        <f>"Объем: "&amp;Source!I40&amp;"=3/"&amp;"100"</f>
        <v>Объем: 0,03=3/100</v>
      </c>
    </row>
    <row r="127" spans="1:26" ht="14.25" x14ac:dyDescent="0.2">
      <c r="A127" s="45"/>
      <c r="B127" s="46"/>
      <c r="C127" s="46" t="s">
        <v>1083</v>
      </c>
      <c r="D127" s="29"/>
      <c r="E127" s="11"/>
      <c r="F127" s="30">
        <f>Source!AO40</f>
        <v>313.14</v>
      </c>
      <c r="G127" s="31" t="str">
        <f>Source!DG40</f>
        <v/>
      </c>
      <c r="H127" s="30">
        <f>ROUND(Source!AF40*Source!I40, 2)</f>
        <v>9.39</v>
      </c>
      <c r="I127" s="31"/>
      <c r="J127" s="31">
        <f>IF(Source!BA40&lt;&gt; 0, Source!BA40, 1)</f>
        <v>6.71</v>
      </c>
      <c r="K127" s="30">
        <f>Source!S40</f>
        <v>63.04</v>
      </c>
      <c r="L127" s="32"/>
      <c r="R127">
        <f>H127</f>
        <v>9.39</v>
      </c>
    </row>
    <row r="128" spans="1:26" ht="14.25" x14ac:dyDescent="0.2">
      <c r="A128" s="45"/>
      <c r="B128" s="46"/>
      <c r="C128" s="46" t="s">
        <v>139</v>
      </c>
      <c r="D128" s="29"/>
      <c r="E128" s="11"/>
      <c r="F128" s="30">
        <f>Source!AM40</f>
        <v>2.19</v>
      </c>
      <c r="G128" s="31" t="str">
        <f>Source!DE40</f>
        <v/>
      </c>
      <c r="H128" s="30">
        <f>ROUND(Source!AD40*Source!I40, 2)</f>
        <v>7.0000000000000007E-2</v>
      </c>
      <c r="I128" s="31"/>
      <c r="J128" s="31">
        <f>IF(Source!BB40&lt;&gt; 0, Source!BB40, 1)</f>
        <v>6.71</v>
      </c>
      <c r="K128" s="30">
        <f>Source!Q40</f>
        <v>0.44</v>
      </c>
      <c r="L128" s="32"/>
    </row>
    <row r="129" spans="1:26" ht="14.25" x14ac:dyDescent="0.2">
      <c r="A129" s="45"/>
      <c r="B129" s="46"/>
      <c r="C129" s="46" t="s">
        <v>1084</v>
      </c>
      <c r="D129" s="29"/>
      <c r="E129" s="11"/>
      <c r="F129" s="30">
        <f>Source!AN40</f>
        <v>0.95</v>
      </c>
      <c r="G129" s="31" t="str">
        <f>Source!DF40</f>
        <v/>
      </c>
      <c r="H129" s="33">
        <f>ROUND(Source!AE40*Source!I40, 2)</f>
        <v>0.03</v>
      </c>
      <c r="I129" s="31"/>
      <c r="J129" s="31">
        <f>IF(Source!BS40&lt;&gt; 0, Source!BS40, 1)</f>
        <v>6.71</v>
      </c>
      <c r="K129" s="33">
        <f>Source!R40</f>
        <v>0.19</v>
      </c>
      <c r="L129" s="32"/>
      <c r="R129">
        <f>H129</f>
        <v>0.03</v>
      </c>
    </row>
    <row r="130" spans="1:26" ht="14.25" x14ac:dyDescent="0.2">
      <c r="A130" s="45"/>
      <c r="B130" s="46"/>
      <c r="C130" s="46" t="s">
        <v>1085</v>
      </c>
      <c r="D130" s="29" t="s">
        <v>1086</v>
      </c>
      <c r="E130" s="11">
        <f>Source!BZ40</f>
        <v>74</v>
      </c>
      <c r="F130" s="49"/>
      <c r="G130" s="31"/>
      <c r="H130" s="30">
        <f>SUM(S125:S133)</f>
        <v>6.97</v>
      </c>
      <c r="I130" s="34"/>
      <c r="J130" s="27">
        <f>Source!AT40</f>
        <v>74</v>
      </c>
      <c r="K130" s="30">
        <f>SUM(T125:T133)</f>
        <v>46.79</v>
      </c>
      <c r="L130" s="32"/>
    </row>
    <row r="131" spans="1:26" ht="14.25" x14ac:dyDescent="0.2">
      <c r="A131" s="45"/>
      <c r="B131" s="46"/>
      <c r="C131" s="46" t="s">
        <v>1087</v>
      </c>
      <c r="D131" s="29" t="s">
        <v>1086</v>
      </c>
      <c r="E131" s="11">
        <f>Source!CA40</f>
        <v>50</v>
      </c>
      <c r="F131" s="49"/>
      <c r="G131" s="31"/>
      <c r="H131" s="30">
        <f>SUM(U125:U133)</f>
        <v>4.71</v>
      </c>
      <c r="I131" s="34"/>
      <c r="J131" s="27">
        <f>Source!AU40</f>
        <v>50</v>
      </c>
      <c r="K131" s="30">
        <f>SUM(V125:V133)</f>
        <v>31.62</v>
      </c>
      <c r="L131" s="32"/>
    </row>
    <row r="132" spans="1:26" ht="14.25" x14ac:dyDescent="0.2">
      <c r="A132" s="45"/>
      <c r="B132" s="46"/>
      <c r="C132" s="46" t="s">
        <v>1088</v>
      </c>
      <c r="D132" s="29" t="s">
        <v>1089</v>
      </c>
      <c r="E132" s="11">
        <f>Source!AQ40</f>
        <v>36.71</v>
      </c>
      <c r="F132" s="30"/>
      <c r="G132" s="31" t="str">
        <f>Source!DI40</f>
        <v/>
      </c>
      <c r="H132" s="30"/>
      <c r="I132" s="31"/>
      <c r="J132" s="31"/>
      <c r="K132" s="30"/>
      <c r="L132" s="41">
        <f>Source!U40</f>
        <v>1.1012999999999999</v>
      </c>
    </row>
    <row r="133" spans="1:26" ht="28.5" x14ac:dyDescent="0.2">
      <c r="A133" s="47" t="str">
        <f>Source!E41</f>
        <v>13,1</v>
      </c>
      <c r="B133" s="48" t="str">
        <f>Source!F41</f>
        <v>01.7.07.07</v>
      </c>
      <c r="C133" s="48" t="str">
        <f>Source!G41</f>
        <v>Строительный мусор и масса возвратных материалов</v>
      </c>
      <c r="D133" s="35" t="str">
        <f>Source!H41</f>
        <v>т</v>
      </c>
      <c r="E133" s="36">
        <f>Source!I41</f>
        <v>6.6E-3</v>
      </c>
      <c r="F133" s="37">
        <f>Source!AL41+Source!AM41+Source!AO41</f>
        <v>0</v>
      </c>
      <c r="G133" s="42" t="s">
        <v>6</v>
      </c>
      <c r="H133" s="37">
        <f>ROUND(Source!AC41*Source!I41, 2)+ROUND(Source!AD41*Source!I41, 2)+ROUND(Source!AF41*Source!I41, 2)</f>
        <v>0</v>
      </c>
      <c r="I133" s="38"/>
      <c r="J133" s="38">
        <f>IF(Source!BC41&lt;&gt; 0, Source!BC41, 1)</f>
        <v>6.71</v>
      </c>
      <c r="K133" s="37">
        <f>Source!O41</f>
        <v>0</v>
      </c>
      <c r="L133" s="43"/>
      <c r="S133">
        <f>ROUND((Source!FX41/100)*((ROUND(Source!AF41*Source!I41, 2)+ROUND(Source!AE41*Source!I41, 2))), 2)</f>
        <v>0</v>
      </c>
      <c r="T133">
        <f>Source!X41</f>
        <v>0</v>
      </c>
      <c r="U133">
        <f>ROUND((Source!FY41/100)*((ROUND(Source!AF41*Source!I41, 2)+ROUND(Source!AE41*Source!I41, 2))), 2)</f>
        <v>0</v>
      </c>
      <c r="V133">
        <f>Source!Y41</f>
        <v>0</v>
      </c>
      <c r="W133">
        <f>IF(Source!BI41&lt;=1,H133, 0)</f>
        <v>0</v>
      </c>
      <c r="X133">
        <f>IF(Source!BI41=2,H133, 0)</f>
        <v>0</v>
      </c>
      <c r="Y133">
        <f>IF(Source!BI41=3,H133, 0)</f>
        <v>0</v>
      </c>
      <c r="Z133">
        <f>IF(Source!BI41=4,H133, 0)</f>
        <v>0</v>
      </c>
    </row>
    <row r="134" spans="1:26" ht="15" x14ac:dyDescent="0.25">
      <c r="G134" s="69">
        <f>H127+H128+H130+H131+SUM(H133:H133)</f>
        <v>21.14</v>
      </c>
      <c r="H134" s="69"/>
      <c r="J134" s="69">
        <f>K127+K128+K130+K131+SUM(K133:K133)</f>
        <v>141.88999999999999</v>
      </c>
      <c r="K134" s="69"/>
      <c r="L134" s="40">
        <f>Source!U40</f>
        <v>1.1012999999999999</v>
      </c>
      <c r="O134" s="24">
        <f>G134</f>
        <v>21.14</v>
      </c>
      <c r="P134" s="24">
        <f>J134</f>
        <v>141.88999999999999</v>
      </c>
      <c r="Q134" s="24">
        <f>L134</f>
        <v>1.1012999999999999</v>
      </c>
      <c r="W134">
        <f>IF(Source!BI40&lt;=1,H127+H128+H130+H131, 0)</f>
        <v>21.14</v>
      </c>
      <c r="X134">
        <f>IF(Source!BI40=2,H127+H128+H130+H131, 0)</f>
        <v>0</v>
      </c>
      <c r="Y134">
        <f>IF(Source!BI40=3,H127+H128+H130+H131, 0)</f>
        <v>0</v>
      </c>
      <c r="Z134">
        <f>IF(Source!BI40=4,H127+H128+H130+H131, 0)</f>
        <v>0</v>
      </c>
    </row>
    <row r="135" spans="1:26" ht="14.25" x14ac:dyDescent="0.2">
      <c r="A135" s="45" t="str">
        <f>Source!E42</f>
        <v>14</v>
      </c>
      <c r="B135" s="46" t="str">
        <f>Source!F42</f>
        <v>65-4-1</v>
      </c>
      <c r="C135" s="46" t="str">
        <f>Source!G42</f>
        <v>Демонтаж умывальников и раковин</v>
      </c>
      <c r="D135" s="29" t="str">
        <f>Source!H42</f>
        <v>100 ШТ</v>
      </c>
      <c r="E135" s="11">
        <f>Source!I42</f>
        <v>0.03</v>
      </c>
      <c r="F135" s="30">
        <f>Source!AL42+Source!AM42+Source!AO42</f>
        <v>445.71999999999997</v>
      </c>
      <c r="G135" s="31"/>
      <c r="H135" s="30"/>
      <c r="I135" s="31" t="str">
        <f>Source!BO42</f>
        <v/>
      </c>
      <c r="J135" s="31"/>
      <c r="K135" s="30"/>
      <c r="L135" s="32"/>
      <c r="S135">
        <f>ROUND((Source!FX42/100)*((ROUND(Source!AF42*Source!I42, 2)+ROUND(Source!AE42*Source!I42, 2))), 2)</f>
        <v>9.8000000000000007</v>
      </c>
      <c r="T135">
        <f>Source!X42</f>
        <v>65.709999999999994</v>
      </c>
      <c r="U135">
        <f>ROUND((Source!FY42/100)*((ROUND(Source!AF42*Source!I42, 2)+ROUND(Source!AE42*Source!I42, 2))), 2)</f>
        <v>6.62</v>
      </c>
      <c r="V135">
        <f>Source!Y42</f>
        <v>44.4</v>
      </c>
    </row>
    <row r="136" spans="1:26" x14ac:dyDescent="0.2">
      <c r="C136" s="23" t="str">
        <f>"Объем: "&amp;Source!I42&amp;"=3/"&amp;"100"</f>
        <v>Объем: 0,03=3/100</v>
      </c>
    </row>
    <row r="137" spans="1:26" ht="14.25" x14ac:dyDescent="0.2">
      <c r="A137" s="45"/>
      <c r="B137" s="46"/>
      <c r="C137" s="46" t="s">
        <v>1083</v>
      </c>
      <c r="D137" s="29"/>
      <c r="E137" s="11"/>
      <c r="F137" s="30">
        <f>Source!AO42</f>
        <v>437.59</v>
      </c>
      <c r="G137" s="31" t="str">
        <f>Source!DG42</f>
        <v/>
      </c>
      <c r="H137" s="30">
        <f>ROUND(Source!AF42*Source!I42, 2)</f>
        <v>13.13</v>
      </c>
      <c r="I137" s="31"/>
      <c r="J137" s="31">
        <f>IF(Source!BA42&lt;&gt; 0, Source!BA42, 1)</f>
        <v>6.71</v>
      </c>
      <c r="K137" s="30">
        <f>Source!S42</f>
        <v>88.09</v>
      </c>
      <c r="L137" s="32"/>
      <c r="R137">
        <f>H137</f>
        <v>13.13</v>
      </c>
    </row>
    <row r="138" spans="1:26" ht="14.25" x14ac:dyDescent="0.2">
      <c r="A138" s="45"/>
      <c r="B138" s="46"/>
      <c r="C138" s="46" t="s">
        <v>139</v>
      </c>
      <c r="D138" s="29"/>
      <c r="E138" s="11"/>
      <c r="F138" s="30">
        <f>Source!AM42</f>
        <v>8.1300000000000008</v>
      </c>
      <c r="G138" s="31" t="str">
        <f>Source!DE42</f>
        <v/>
      </c>
      <c r="H138" s="30">
        <f>ROUND(Source!AD42*Source!I42, 2)</f>
        <v>0.24</v>
      </c>
      <c r="I138" s="31"/>
      <c r="J138" s="31">
        <f>IF(Source!BB42&lt;&gt; 0, Source!BB42, 1)</f>
        <v>6.71</v>
      </c>
      <c r="K138" s="30">
        <f>Source!Q42</f>
        <v>1.64</v>
      </c>
      <c r="L138" s="32"/>
    </row>
    <row r="139" spans="1:26" ht="14.25" x14ac:dyDescent="0.2">
      <c r="A139" s="45"/>
      <c r="B139" s="46"/>
      <c r="C139" s="46" t="s">
        <v>1084</v>
      </c>
      <c r="D139" s="29"/>
      <c r="E139" s="11"/>
      <c r="F139" s="30">
        <f>Source!AN42</f>
        <v>3.51</v>
      </c>
      <c r="G139" s="31" t="str">
        <f>Source!DF42</f>
        <v/>
      </c>
      <c r="H139" s="33">
        <f>ROUND(Source!AE42*Source!I42, 2)</f>
        <v>0.11</v>
      </c>
      <c r="I139" s="31"/>
      <c r="J139" s="31">
        <f>IF(Source!BS42&lt;&gt; 0, Source!BS42, 1)</f>
        <v>6.71</v>
      </c>
      <c r="K139" s="33">
        <f>Source!R42</f>
        <v>0.71</v>
      </c>
      <c r="L139" s="32"/>
      <c r="R139">
        <f>H139</f>
        <v>0.11</v>
      </c>
    </row>
    <row r="140" spans="1:26" ht="14.25" x14ac:dyDescent="0.2">
      <c r="A140" s="45"/>
      <c r="B140" s="46"/>
      <c r="C140" s="46" t="s">
        <v>1085</v>
      </c>
      <c r="D140" s="29" t="s">
        <v>1086</v>
      </c>
      <c r="E140" s="11">
        <f>Source!BZ42</f>
        <v>74</v>
      </c>
      <c r="F140" s="49"/>
      <c r="G140" s="31"/>
      <c r="H140" s="30">
        <f>SUM(S135:S142)</f>
        <v>9.8000000000000007</v>
      </c>
      <c r="I140" s="34"/>
      <c r="J140" s="27">
        <f>Source!AT42</f>
        <v>74</v>
      </c>
      <c r="K140" s="30">
        <f>SUM(T135:T142)</f>
        <v>65.709999999999994</v>
      </c>
      <c r="L140" s="32"/>
    </row>
    <row r="141" spans="1:26" ht="14.25" x14ac:dyDescent="0.2">
      <c r="A141" s="45"/>
      <c r="B141" s="46"/>
      <c r="C141" s="46" t="s">
        <v>1087</v>
      </c>
      <c r="D141" s="29" t="s">
        <v>1086</v>
      </c>
      <c r="E141" s="11">
        <f>Source!CA42</f>
        <v>50</v>
      </c>
      <c r="F141" s="49"/>
      <c r="G141" s="31"/>
      <c r="H141" s="30">
        <f>SUM(U135:U142)</f>
        <v>6.62</v>
      </c>
      <c r="I141" s="34"/>
      <c r="J141" s="27">
        <f>Source!AU42</f>
        <v>50</v>
      </c>
      <c r="K141" s="30">
        <f>SUM(V135:V142)</f>
        <v>44.4</v>
      </c>
      <c r="L141" s="32"/>
    </row>
    <row r="142" spans="1:26" ht="14.25" x14ac:dyDescent="0.2">
      <c r="A142" s="47"/>
      <c r="B142" s="48"/>
      <c r="C142" s="48" t="s">
        <v>1088</v>
      </c>
      <c r="D142" s="35" t="s">
        <v>1089</v>
      </c>
      <c r="E142" s="36">
        <f>Source!AQ42</f>
        <v>51.3</v>
      </c>
      <c r="F142" s="37"/>
      <c r="G142" s="38" t="str">
        <f>Source!DI42</f>
        <v/>
      </c>
      <c r="H142" s="37"/>
      <c r="I142" s="38"/>
      <c r="J142" s="38"/>
      <c r="K142" s="37"/>
      <c r="L142" s="39">
        <f>Source!U42</f>
        <v>1.5389999999999999</v>
      </c>
    </row>
    <row r="143" spans="1:26" ht="15" x14ac:dyDescent="0.25">
      <c r="G143" s="69">
        <f>H137+H138+H140+H141</f>
        <v>29.790000000000003</v>
      </c>
      <c r="H143" s="69"/>
      <c r="J143" s="69">
        <f>K137+K138+K140+K141</f>
        <v>199.84</v>
      </c>
      <c r="K143" s="69"/>
      <c r="L143" s="40">
        <f>Source!U42</f>
        <v>1.5389999999999999</v>
      </c>
      <c r="O143" s="24">
        <f>G143</f>
        <v>29.790000000000003</v>
      </c>
      <c r="P143" s="24">
        <f>J143</f>
        <v>199.84</v>
      </c>
      <c r="Q143" s="24">
        <f>L143</f>
        <v>1.5389999999999999</v>
      </c>
      <c r="W143">
        <f>IF(Source!BI42&lt;=1,H137+H138+H140+H141, 0)</f>
        <v>29.790000000000003</v>
      </c>
      <c r="X143">
        <f>IF(Source!BI42=2,H137+H138+H140+H141, 0)</f>
        <v>0</v>
      </c>
      <c r="Y143">
        <f>IF(Source!BI42=3,H137+H138+H140+H141, 0)</f>
        <v>0</v>
      </c>
      <c r="Z143">
        <f>IF(Source!BI42=4,H137+H138+H140+H141, 0)</f>
        <v>0</v>
      </c>
    </row>
    <row r="144" spans="1:26" ht="42.75" x14ac:dyDescent="0.2">
      <c r="A144" s="45" t="str">
        <f>Source!E43</f>
        <v>15</v>
      </c>
      <c r="B144" s="46" t="str">
        <f>Source!F43</f>
        <v>65-1-1</v>
      </c>
      <c r="C144" s="46" t="str">
        <f>Source!G43</f>
        <v>Разборка трубопроводов из водогазопроводных труб диаметром до 32 мм</v>
      </c>
      <c r="D144" s="29" t="str">
        <f>Source!H43</f>
        <v>100 м</v>
      </c>
      <c r="E144" s="11">
        <f>Source!I43</f>
        <v>0.06</v>
      </c>
      <c r="F144" s="30">
        <f>Source!AL43+Source!AM43+Source!AO43</f>
        <v>328.71</v>
      </c>
      <c r="G144" s="31"/>
      <c r="H144" s="30"/>
      <c r="I144" s="31" t="str">
        <f>Source!BO43</f>
        <v/>
      </c>
      <c r="J144" s="31"/>
      <c r="K144" s="30"/>
      <c r="L144" s="32"/>
      <c r="S144">
        <f>ROUND((Source!FX43/100)*((ROUND(Source!AF43*Source!I43, 2)+ROUND(Source!AE43*Source!I43, 2))), 2)</f>
        <v>12.85</v>
      </c>
      <c r="T144">
        <f>Source!X43</f>
        <v>86.21</v>
      </c>
      <c r="U144">
        <f>ROUND((Source!FY43/100)*((ROUND(Source!AF43*Source!I43, 2)+ROUND(Source!AE43*Source!I43, 2))), 2)</f>
        <v>8.68</v>
      </c>
      <c r="V144">
        <f>Source!Y43</f>
        <v>58.25</v>
      </c>
    </row>
    <row r="145" spans="1:26" x14ac:dyDescent="0.2">
      <c r="C145" s="23" t="str">
        <f>"Объем: "&amp;Source!I43&amp;"=6/"&amp;"100"</f>
        <v>Объем: 0,06=6/100</v>
      </c>
    </row>
    <row r="146" spans="1:26" ht="14.25" x14ac:dyDescent="0.2">
      <c r="A146" s="45"/>
      <c r="B146" s="46"/>
      <c r="C146" s="46" t="s">
        <v>1083</v>
      </c>
      <c r="D146" s="29"/>
      <c r="E146" s="11"/>
      <c r="F146" s="30">
        <f>Source!AO43</f>
        <v>288.02</v>
      </c>
      <c r="G146" s="31" t="str">
        <f>Source!DG43</f>
        <v/>
      </c>
      <c r="H146" s="30">
        <f>ROUND(Source!AF43*Source!I43, 2)</f>
        <v>17.28</v>
      </c>
      <c r="I146" s="31"/>
      <c r="J146" s="31">
        <f>IF(Source!BA43&lt;&gt; 0, Source!BA43, 1)</f>
        <v>6.71</v>
      </c>
      <c r="K146" s="30">
        <f>Source!S43</f>
        <v>115.96</v>
      </c>
      <c r="L146" s="32"/>
      <c r="R146">
        <f>H146</f>
        <v>17.28</v>
      </c>
    </row>
    <row r="147" spans="1:26" ht="14.25" x14ac:dyDescent="0.2">
      <c r="A147" s="45"/>
      <c r="B147" s="46"/>
      <c r="C147" s="46" t="s">
        <v>139</v>
      </c>
      <c r="D147" s="29"/>
      <c r="E147" s="11"/>
      <c r="F147" s="30">
        <f>Source!AM43</f>
        <v>7.09</v>
      </c>
      <c r="G147" s="31" t="str">
        <f>Source!DE43</f>
        <v/>
      </c>
      <c r="H147" s="30">
        <f>ROUND(Source!AD43*Source!I43, 2)</f>
        <v>0.43</v>
      </c>
      <c r="I147" s="31"/>
      <c r="J147" s="31">
        <f>IF(Source!BB43&lt;&gt; 0, Source!BB43, 1)</f>
        <v>6.71</v>
      </c>
      <c r="K147" s="30">
        <f>Source!Q43</f>
        <v>2.85</v>
      </c>
      <c r="L147" s="32"/>
    </row>
    <row r="148" spans="1:26" ht="14.25" x14ac:dyDescent="0.2">
      <c r="A148" s="45"/>
      <c r="B148" s="46"/>
      <c r="C148" s="46" t="s">
        <v>1084</v>
      </c>
      <c r="D148" s="29"/>
      <c r="E148" s="11"/>
      <c r="F148" s="30">
        <f>Source!AN43</f>
        <v>1.35</v>
      </c>
      <c r="G148" s="31" t="str">
        <f>Source!DF43</f>
        <v/>
      </c>
      <c r="H148" s="33">
        <f>ROUND(Source!AE43*Source!I43, 2)</f>
        <v>0.08</v>
      </c>
      <c r="I148" s="31"/>
      <c r="J148" s="31">
        <f>IF(Source!BS43&lt;&gt; 0, Source!BS43, 1)</f>
        <v>6.71</v>
      </c>
      <c r="K148" s="33">
        <f>Source!R43</f>
        <v>0.54</v>
      </c>
      <c r="L148" s="32"/>
      <c r="R148">
        <f>H148</f>
        <v>0.08</v>
      </c>
    </row>
    <row r="149" spans="1:26" ht="14.25" x14ac:dyDescent="0.2">
      <c r="A149" s="45"/>
      <c r="B149" s="46"/>
      <c r="C149" s="46" t="s">
        <v>1085</v>
      </c>
      <c r="D149" s="29" t="s">
        <v>1086</v>
      </c>
      <c r="E149" s="11">
        <f>Source!BZ43</f>
        <v>74</v>
      </c>
      <c r="F149" s="49"/>
      <c r="G149" s="31"/>
      <c r="H149" s="30">
        <f>SUM(S144:S151)</f>
        <v>12.85</v>
      </c>
      <c r="I149" s="34"/>
      <c r="J149" s="27">
        <f>Source!AT43</f>
        <v>74</v>
      </c>
      <c r="K149" s="30">
        <f>SUM(T144:T151)</f>
        <v>86.21</v>
      </c>
      <c r="L149" s="32"/>
    </row>
    <row r="150" spans="1:26" ht="14.25" x14ac:dyDescent="0.2">
      <c r="A150" s="45"/>
      <c r="B150" s="46"/>
      <c r="C150" s="46" t="s">
        <v>1087</v>
      </c>
      <c r="D150" s="29" t="s">
        <v>1086</v>
      </c>
      <c r="E150" s="11">
        <f>Source!CA43</f>
        <v>50</v>
      </c>
      <c r="F150" s="49"/>
      <c r="G150" s="31"/>
      <c r="H150" s="30">
        <f>SUM(U144:U151)</f>
        <v>8.68</v>
      </c>
      <c r="I150" s="34"/>
      <c r="J150" s="27">
        <f>Source!AU43</f>
        <v>50</v>
      </c>
      <c r="K150" s="30">
        <f>SUM(V144:V151)</f>
        <v>58.25</v>
      </c>
      <c r="L150" s="32"/>
    </row>
    <row r="151" spans="1:26" ht="14.25" x14ac:dyDescent="0.2">
      <c r="A151" s="47"/>
      <c r="B151" s="48"/>
      <c r="C151" s="48" t="s">
        <v>1088</v>
      </c>
      <c r="D151" s="35" t="s">
        <v>1089</v>
      </c>
      <c r="E151" s="36">
        <f>Source!AQ43</f>
        <v>34.659999999999997</v>
      </c>
      <c r="F151" s="37"/>
      <c r="G151" s="38" t="str">
        <f>Source!DI43</f>
        <v/>
      </c>
      <c r="H151" s="37"/>
      <c r="I151" s="38"/>
      <c r="J151" s="38"/>
      <c r="K151" s="37"/>
      <c r="L151" s="39">
        <f>Source!U43</f>
        <v>2.0795999999999997</v>
      </c>
    </row>
    <row r="152" spans="1:26" ht="15" x14ac:dyDescent="0.25">
      <c r="G152" s="69">
        <f>H146+H147+H149+H150</f>
        <v>39.24</v>
      </c>
      <c r="H152" s="69"/>
      <c r="J152" s="69">
        <f>K146+K147+K149+K150</f>
        <v>263.27</v>
      </c>
      <c r="K152" s="69"/>
      <c r="L152" s="40">
        <f>Source!U43</f>
        <v>2.0795999999999997</v>
      </c>
      <c r="O152" s="24">
        <f>G152</f>
        <v>39.24</v>
      </c>
      <c r="P152" s="24">
        <f>J152</f>
        <v>263.27</v>
      </c>
      <c r="Q152" s="24">
        <f>L152</f>
        <v>2.0795999999999997</v>
      </c>
      <c r="W152">
        <f>IF(Source!BI43&lt;=1,H146+H147+H149+H150, 0)</f>
        <v>39.24</v>
      </c>
      <c r="X152">
        <f>IF(Source!BI43=2,H146+H147+H149+H150, 0)</f>
        <v>0</v>
      </c>
      <c r="Y152">
        <f>IF(Source!BI43=3,H146+H147+H149+H150, 0)</f>
        <v>0</v>
      </c>
      <c r="Z152">
        <f>IF(Source!BI43=4,H146+H147+H149+H150, 0)</f>
        <v>0</v>
      </c>
    </row>
    <row r="153" spans="1:26" ht="28.5" x14ac:dyDescent="0.2">
      <c r="A153" s="45" t="str">
        <f>Source!E44</f>
        <v>16</v>
      </c>
      <c r="B153" s="46" t="str">
        <f>Source!F44</f>
        <v>57-2-3</v>
      </c>
      <c r="C153" s="46" t="str">
        <f>Source!G44</f>
        <v>Разборка покрытий полов из керамических плиток</v>
      </c>
      <c r="D153" s="29" t="str">
        <f>Source!H44</f>
        <v>100 м2</v>
      </c>
      <c r="E153" s="11">
        <f>Source!I44</f>
        <v>0.16300000000000001</v>
      </c>
      <c r="F153" s="30">
        <f>Source!AL44+Source!AM44+Source!AO44</f>
        <v>641</v>
      </c>
      <c r="G153" s="31"/>
      <c r="H153" s="30"/>
      <c r="I153" s="31" t="str">
        <f>Source!BO44</f>
        <v/>
      </c>
      <c r="J153" s="31"/>
      <c r="K153" s="30"/>
      <c r="L153" s="32"/>
      <c r="S153">
        <f>ROUND((Source!FX44/100)*((ROUND(Source!AF44*Source!I44, 2)+ROUND(Source!AE44*Source!I44, 2))), 2)</f>
        <v>80.260000000000005</v>
      </c>
      <c r="T153">
        <f>Source!X44</f>
        <v>538.49</v>
      </c>
      <c r="U153">
        <f>ROUND((Source!FY44/100)*((ROUND(Source!AF44*Source!I44, 2)+ROUND(Source!AE44*Source!I44, 2))), 2)</f>
        <v>68.22</v>
      </c>
      <c r="V153">
        <f>Source!Y44</f>
        <v>457.71</v>
      </c>
    </row>
    <row r="154" spans="1:26" x14ac:dyDescent="0.2">
      <c r="C154" s="23" t="str">
        <f>"Объем: "&amp;Source!I44&amp;"=16,3/"&amp;"100"</f>
        <v>Объем: 0,163=16,3/100</v>
      </c>
    </row>
    <row r="155" spans="1:26" ht="14.25" x14ac:dyDescent="0.2">
      <c r="A155" s="45"/>
      <c r="B155" s="46"/>
      <c r="C155" s="46" t="s">
        <v>1083</v>
      </c>
      <c r="D155" s="29"/>
      <c r="E155" s="11"/>
      <c r="F155" s="30">
        <f>Source!AO44</f>
        <v>595.99</v>
      </c>
      <c r="G155" s="31" t="str">
        <f>Source!DG44</f>
        <v/>
      </c>
      <c r="H155" s="30">
        <f>ROUND(Source!AF44*Source!I44, 2)</f>
        <v>97.15</v>
      </c>
      <c r="I155" s="31"/>
      <c r="J155" s="31">
        <f>IF(Source!BA44&lt;&gt; 0, Source!BA44, 1)</f>
        <v>6.71</v>
      </c>
      <c r="K155" s="30">
        <f>Source!S44</f>
        <v>651.85</v>
      </c>
      <c r="L155" s="32"/>
      <c r="R155">
        <f>H155</f>
        <v>97.15</v>
      </c>
    </row>
    <row r="156" spans="1:26" ht="14.25" x14ac:dyDescent="0.2">
      <c r="A156" s="45"/>
      <c r="B156" s="46"/>
      <c r="C156" s="46" t="s">
        <v>139</v>
      </c>
      <c r="D156" s="29"/>
      <c r="E156" s="11"/>
      <c r="F156" s="30">
        <f>Source!AM44</f>
        <v>45.01</v>
      </c>
      <c r="G156" s="31" t="str">
        <f>Source!DE44</f>
        <v/>
      </c>
      <c r="H156" s="30">
        <f>ROUND(Source!AD44*Source!I44, 2)</f>
        <v>7.34</v>
      </c>
      <c r="I156" s="31"/>
      <c r="J156" s="31">
        <f>IF(Source!BB44&lt;&gt; 0, Source!BB44, 1)</f>
        <v>6.71</v>
      </c>
      <c r="K156" s="30">
        <f>Source!Q44</f>
        <v>49.23</v>
      </c>
      <c r="L156" s="32"/>
    </row>
    <row r="157" spans="1:26" ht="14.25" x14ac:dyDescent="0.2">
      <c r="A157" s="45"/>
      <c r="B157" s="46"/>
      <c r="C157" s="46" t="s">
        <v>1084</v>
      </c>
      <c r="D157" s="29"/>
      <c r="E157" s="11"/>
      <c r="F157" s="30">
        <f>Source!AN44</f>
        <v>19.440000000000001</v>
      </c>
      <c r="G157" s="31" t="str">
        <f>Source!DF44</f>
        <v/>
      </c>
      <c r="H157" s="33">
        <f>ROUND(Source!AE44*Source!I44, 2)</f>
        <v>3.17</v>
      </c>
      <c r="I157" s="31"/>
      <c r="J157" s="31">
        <f>IF(Source!BS44&lt;&gt; 0, Source!BS44, 1)</f>
        <v>6.71</v>
      </c>
      <c r="K157" s="33">
        <f>Source!R44</f>
        <v>21.26</v>
      </c>
      <c r="L157" s="32"/>
      <c r="R157">
        <f>H157</f>
        <v>3.17</v>
      </c>
    </row>
    <row r="158" spans="1:26" ht="14.25" x14ac:dyDescent="0.2">
      <c r="A158" s="45"/>
      <c r="B158" s="46"/>
      <c r="C158" s="46" t="s">
        <v>1085</v>
      </c>
      <c r="D158" s="29" t="s">
        <v>1086</v>
      </c>
      <c r="E158" s="11">
        <f>Source!BZ44</f>
        <v>80</v>
      </c>
      <c r="F158" s="49"/>
      <c r="G158" s="31"/>
      <c r="H158" s="30">
        <f>SUM(S153:S160)</f>
        <v>80.260000000000005</v>
      </c>
      <c r="I158" s="34"/>
      <c r="J158" s="27">
        <f>Source!AT44</f>
        <v>80</v>
      </c>
      <c r="K158" s="30">
        <f>SUM(T153:T160)</f>
        <v>538.49</v>
      </c>
      <c r="L158" s="32"/>
    </row>
    <row r="159" spans="1:26" ht="14.25" x14ac:dyDescent="0.2">
      <c r="A159" s="45"/>
      <c r="B159" s="46"/>
      <c r="C159" s="46" t="s">
        <v>1087</v>
      </c>
      <c r="D159" s="29" t="s">
        <v>1086</v>
      </c>
      <c r="E159" s="11">
        <f>Source!CA44</f>
        <v>68</v>
      </c>
      <c r="F159" s="49"/>
      <c r="G159" s="31"/>
      <c r="H159" s="30">
        <f>SUM(U153:U160)</f>
        <v>68.22</v>
      </c>
      <c r="I159" s="34"/>
      <c r="J159" s="27">
        <f>Source!AU44</f>
        <v>68</v>
      </c>
      <c r="K159" s="30">
        <f>SUM(V153:V160)</f>
        <v>457.71</v>
      </c>
      <c r="L159" s="32"/>
    </row>
    <row r="160" spans="1:26" ht="14.25" x14ac:dyDescent="0.2">
      <c r="A160" s="47"/>
      <c r="B160" s="48"/>
      <c r="C160" s="48" t="s">
        <v>1088</v>
      </c>
      <c r="D160" s="35" t="s">
        <v>1089</v>
      </c>
      <c r="E160" s="36">
        <f>Source!AQ44</f>
        <v>69.87</v>
      </c>
      <c r="F160" s="37"/>
      <c r="G160" s="38" t="str">
        <f>Source!DI44</f>
        <v/>
      </c>
      <c r="H160" s="37"/>
      <c r="I160" s="38"/>
      <c r="J160" s="38"/>
      <c r="K160" s="37"/>
      <c r="L160" s="39">
        <f>Source!U44</f>
        <v>11.388810000000001</v>
      </c>
    </row>
    <row r="161" spans="1:26" ht="15" x14ac:dyDescent="0.25">
      <c r="G161" s="69">
        <f>H155+H156+H158+H159</f>
        <v>252.97</v>
      </c>
      <c r="H161" s="69"/>
      <c r="J161" s="69">
        <f>K155+K156+K158+K159</f>
        <v>1697.2800000000002</v>
      </c>
      <c r="K161" s="69"/>
      <c r="L161" s="40">
        <f>Source!U44</f>
        <v>11.388810000000001</v>
      </c>
      <c r="O161" s="24">
        <f>G161</f>
        <v>252.97</v>
      </c>
      <c r="P161" s="24">
        <f>J161</f>
        <v>1697.2800000000002</v>
      </c>
      <c r="Q161" s="24">
        <f>L161</f>
        <v>11.388810000000001</v>
      </c>
      <c r="W161">
        <f>IF(Source!BI44&lt;=1,H155+H156+H158+H159, 0)</f>
        <v>252.97</v>
      </c>
      <c r="X161">
        <f>IF(Source!BI44=2,H155+H156+H158+H159, 0)</f>
        <v>0</v>
      </c>
      <c r="Y161">
        <f>IF(Source!BI44=3,H155+H156+H158+H159, 0)</f>
        <v>0</v>
      </c>
      <c r="Z161">
        <f>IF(Source!BI44=4,H155+H156+H158+H159, 0)</f>
        <v>0</v>
      </c>
    </row>
    <row r="163" spans="1:26" ht="15" x14ac:dyDescent="0.25">
      <c r="A163" s="71" t="str">
        <f>CONCATENATE("Итого по разделу: ",IF(Source!G46&lt;&gt;"Новый раздел", Source!G46, ""))</f>
        <v>Итого по разделу: Демонтаж</v>
      </c>
      <c r="B163" s="71"/>
      <c r="C163" s="71"/>
      <c r="D163" s="71"/>
      <c r="E163" s="71"/>
      <c r="F163" s="71"/>
      <c r="G163" s="70">
        <f>SUM(O27:O162)</f>
        <v>3934.1599999999994</v>
      </c>
      <c r="H163" s="70"/>
      <c r="I163" s="26"/>
      <c r="J163" s="70">
        <f>SUM(P27:P162)</f>
        <v>26417.289999999997</v>
      </c>
      <c r="K163" s="70"/>
      <c r="L163" s="40">
        <f>SUM(Q27:Q162)</f>
        <v>181.258669</v>
      </c>
    </row>
    <row r="167" spans="1:26" ht="16.5" x14ac:dyDescent="0.25">
      <c r="A167" s="74" t="str">
        <f>CONCATENATE("Раздел: ",IF(Source!G75&lt;&gt;"Новый раздел", Source!G75, ""))</f>
        <v>Раздел: Монтаж</v>
      </c>
      <c r="B167" s="74"/>
      <c r="C167" s="74"/>
      <c r="D167" s="74"/>
      <c r="E167" s="74"/>
      <c r="F167" s="74"/>
      <c r="G167" s="74"/>
      <c r="H167" s="74"/>
      <c r="I167" s="74"/>
      <c r="J167" s="74"/>
      <c r="K167" s="74"/>
      <c r="L167" s="74"/>
    </row>
    <row r="168" spans="1:26" ht="57" x14ac:dyDescent="0.2">
      <c r="A168" s="45" t="str">
        <f>Source!E79</f>
        <v>17</v>
      </c>
      <c r="B168" s="46" t="str">
        <f>Source!F79</f>
        <v>10-01-039-01</v>
      </c>
      <c r="C168" s="46" t="str">
        <f>Source!G79</f>
        <v>Установка блоков в наружных и внутренних дверных проемах в каменных стенах, площадь проема до 3 м2</v>
      </c>
      <c r="D168" s="29" t="str">
        <f>Source!H79</f>
        <v>100 м2</v>
      </c>
      <c r="E168" s="11">
        <f>Source!I79</f>
        <v>9.4500000000000001E-2</v>
      </c>
      <c r="F168" s="30">
        <f>Source!AL79+Source!AM79+Source!AO79</f>
        <v>3493.69</v>
      </c>
      <c r="G168" s="31"/>
      <c r="H168" s="30"/>
      <c r="I168" s="31" t="str">
        <f>Source!BO79</f>
        <v/>
      </c>
      <c r="J168" s="31"/>
      <c r="K168" s="30"/>
      <c r="L168" s="32"/>
      <c r="S168">
        <f>ROUND((Source!FX79/100)*((ROUND(Source!AF79*Source!I79, 2)+ROUND(Source!AE79*Source!I79, 2))), 2)</f>
        <v>137</v>
      </c>
      <c r="T168">
        <f>Source!X79</f>
        <v>917.51</v>
      </c>
      <c r="U168">
        <f>ROUND((Source!FY79/100)*((ROUND(Source!AF79*Source!I79, 2)+ROUND(Source!AE79*Source!I79, 2))), 2)</f>
        <v>69.08</v>
      </c>
      <c r="V168">
        <f>Source!Y79</f>
        <v>467.41</v>
      </c>
    </row>
    <row r="169" spans="1:26" x14ac:dyDescent="0.2">
      <c r="C169" s="23" t="str">
        <f>"Объем: "&amp;Source!I79&amp;"=9,45/"&amp;"100"</f>
        <v>Объем: 0,0945=9,45/100</v>
      </c>
    </row>
    <row r="170" spans="1:26" ht="14.25" x14ac:dyDescent="0.2">
      <c r="A170" s="45"/>
      <c r="B170" s="46"/>
      <c r="C170" s="46" t="s">
        <v>1083</v>
      </c>
      <c r="D170" s="29"/>
      <c r="E170" s="11"/>
      <c r="F170" s="30">
        <f>Source!AO79</f>
        <v>821.89</v>
      </c>
      <c r="G170" s="31" t="str">
        <f>Source!DG79</f>
        <v>)*1,15)*1,2</v>
      </c>
      <c r="H170" s="30">
        <f>ROUND(Source!AF79*Source!I79, 2)</f>
        <v>107.18</v>
      </c>
      <c r="I170" s="31"/>
      <c r="J170" s="31">
        <f>IF(Source!BA79&lt;&gt; 0, Source!BA79, 1)</f>
        <v>6.71</v>
      </c>
      <c r="K170" s="30">
        <f>Source!S79</f>
        <v>719.2</v>
      </c>
      <c r="L170" s="32"/>
      <c r="R170">
        <f>H170</f>
        <v>107.18</v>
      </c>
    </row>
    <row r="171" spans="1:26" ht="14.25" x14ac:dyDescent="0.2">
      <c r="A171" s="45"/>
      <c r="B171" s="46"/>
      <c r="C171" s="46" t="s">
        <v>139</v>
      </c>
      <c r="D171" s="29"/>
      <c r="E171" s="11"/>
      <c r="F171" s="30">
        <f>Source!AM79</f>
        <v>967.98</v>
      </c>
      <c r="G171" s="31" t="str">
        <f>Source!DE79</f>
        <v>)*1,25)*1,2</v>
      </c>
      <c r="H171" s="30">
        <f>ROUND(Source!AD79*Source!I79, 2)</f>
        <v>137.21</v>
      </c>
      <c r="I171" s="31"/>
      <c r="J171" s="31">
        <f>IF(Source!BB79&lt;&gt; 0, Source!BB79, 1)</f>
        <v>6.71</v>
      </c>
      <c r="K171" s="30">
        <f>Source!Q79</f>
        <v>920.69</v>
      </c>
      <c r="L171" s="32"/>
    </row>
    <row r="172" spans="1:26" ht="14.25" x14ac:dyDescent="0.2">
      <c r="A172" s="45"/>
      <c r="B172" s="46"/>
      <c r="C172" s="46" t="s">
        <v>1084</v>
      </c>
      <c r="D172" s="29"/>
      <c r="E172" s="11"/>
      <c r="F172" s="30">
        <f>Source!AN79</f>
        <v>153.9</v>
      </c>
      <c r="G172" s="31" t="str">
        <f>Source!DF79</f>
        <v>)*1,25)*1,2</v>
      </c>
      <c r="H172" s="33">
        <f>ROUND(Source!AE79*Source!I79, 2)</f>
        <v>21.82</v>
      </c>
      <c r="I172" s="31"/>
      <c r="J172" s="31">
        <f>IF(Source!BS79&lt;&gt; 0, Source!BS79, 1)</f>
        <v>6.71</v>
      </c>
      <c r="K172" s="33">
        <f>Source!R79</f>
        <v>146.38</v>
      </c>
      <c r="L172" s="32"/>
      <c r="R172">
        <f>H172</f>
        <v>21.82</v>
      </c>
    </row>
    <row r="173" spans="1:26" ht="14.25" x14ac:dyDescent="0.2">
      <c r="A173" s="45"/>
      <c r="B173" s="46"/>
      <c r="C173" s="46" t="s">
        <v>1090</v>
      </c>
      <c r="D173" s="29"/>
      <c r="E173" s="11"/>
      <c r="F173" s="30">
        <f>Source!AL79</f>
        <v>1703.82</v>
      </c>
      <c r="G173" s="31" t="str">
        <f>Source!DD79</f>
        <v/>
      </c>
      <c r="H173" s="30">
        <f>ROUND(Source!AC79*Source!I79, 2)</f>
        <v>161.01</v>
      </c>
      <c r="I173" s="31"/>
      <c r="J173" s="31">
        <f>IF(Source!BC79&lt;&gt; 0, Source!BC79, 1)</f>
        <v>6.71</v>
      </c>
      <c r="K173" s="30">
        <f>Source!P79</f>
        <v>1080.3800000000001</v>
      </c>
      <c r="L173" s="32"/>
    </row>
    <row r="174" spans="1:26" ht="14.25" x14ac:dyDescent="0.2">
      <c r="A174" s="45"/>
      <c r="B174" s="46"/>
      <c r="C174" s="46" t="s">
        <v>1085</v>
      </c>
      <c r="D174" s="29" t="s">
        <v>1086</v>
      </c>
      <c r="E174" s="11">
        <f>Source!BZ79</f>
        <v>118</v>
      </c>
      <c r="F174" s="72" t="str">
        <f>CONCATENATE(" )", Source!DL79, Source!FT79, "=", Source!FX79)</f>
        <v xml:space="preserve"> )*0,9=106,2</v>
      </c>
      <c r="G174" s="73"/>
      <c r="H174" s="30">
        <f>SUM(S168:S179)</f>
        <v>137</v>
      </c>
      <c r="I174" s="34"/>
      <c r="J174" s="27">
        <f>Source!AT79</f>
        <v>106</v>
      </c>
      <c r="K174" s="30">
        <f>SUM(T168:T179)</f>
        <v>917.51</v>
      </c>
      <c r="L174" s="32"/>
    </row>
    <row r="175" spans="1:26" ht="14.25" x14ac:dyDescent="0.2">
      <c r="A175" s="45"/>
      <c r="B175" s="46"/>
      <c r="C175" s="46" t="s">
        <v>1087</v>
      </c>
      <c r="D175" s="29" t="s">
        <v>1086</v>
      </c>
      <c r="E175" s="11">
        <f>Source!CA79</f>
        <v>63</v>
      </c>
      <c r="F175" s="72" t="str">
        <f>CONCATENATE(" )", Source!DM79, Source!FU79, "=", Source!FY79)</f>
        <v xml:space="preserve"> )*0,85=53,55</v>
      </c>
      <c r="G175" s="73"/>
      <c r="H175" s="30">
        <f>SUM(U168:U179)</f>
        <v>69.08</v>
      </c>
      <c r="I175" s="34"/>
      <c r="J175" s="27">
        <f>Source!AU79</f>
        <v>54</v>
      </c>
      <c r="K175" s="30">
        <f>SUM(V168:V179)</f>
        <v>467.41</v>
      </c>
      <c r="L175" s="32"/>
    </row>
    <row r="176" spans="1:26" ht="14.25" x14ac:dyDescent="0.2">
      <c r="A176" s="45"/>
      <c r="B176" s="46"/>
      <c r="C176" s="46" t="s">
        <v>1088</v>
      </c>
      <c r="D176" s="29" t="s">
        <v>1089</v>
      </c>
      <c r="E176" s="11">
        <f>Source!AQ79</f>
        <v>89.53</v>
      </c>
      <c r="F176" s="30"/>
      <c r="G176" s="31" t="str">
        <f>Source!DI79</f>
        <v>)*1,15)*1,2</v>
      </c>
      <c r="H176" s="30"/>
      <c r="I176" s="31"/>
      <c r="J176" s="31"/>
      <c r="K176" s="30"/>
      <c r="L176" s="41">
        <f>Source!U79</f>
        <v>11.675607299999999</v>
      </c>
    </row>
    <row r="177" spans="1:26" ht="28.5" x14ac:dyDescent="0.2">
      <c r="A177" s="45" t="str">
        <f>Source!E81</f>
        <v>17,2</v>
      </c>
      <c r="B177" s="46" t="str">
        <f>Source!F81</f>
        <v>01.7.04.07-0011</v>
      </c>
      <c r="C177" s="46" t="str">
        <f>Source!G81</f>
        <v>Скобяные изделия для блоков входных однопольных</v>
      </c>
      <c r="D177" s="29" t="str">
        <f>Source!H81</f>
        <v>компл.</v>
      </c>
      <c r="E177" s="11">
        <f>Source!I81</f>
        <v>5</v>
      </c>
      <c r="F177" s="30">
        <f>Source!AL81+Source!AM81+Source!AO81</f>
        <v>94.68</v>
      </c>
      <c r="G177" s="44" t="s">
        <v>6</v>
      </c>
      <c r="H177" s="30">
        <f>ROUND(Source!AC81*Source!I81, 2)+ROUND(Source!AD81*Source!I81, 2)+ROUND(Source!AF81*Source!I81, 2)</f>
        <v>473.4</v>
      </c>
      <c r="I177" s="31"/>
      <c r="J177" s="31">
        <f>IF(Source!BC81&lt;&gt; 0, Source!BC81, 1)</f>
        <v>6.71</v>
      </c>
      <c r="K177" s="30">
        <f>Source!O81</f>
        <v>3176.51</v>
      </c>
      <c r="L177" s="32"/>
      <c r="S177">
        <f>ROUND((Source!FX81/100)*((ROUND(Source!AF81*Source!I81, 2)+ROUND(Source!AE81*Source!I81, 2))), 2)</f>
        <v>0</v>
      </c>
      <c r="T177">
        <f>Source!X81</f>
        <v>0</v>
      </c>
      <c r="U177">
        <f>ROUND((Source!FY81/100)*((ROUND(Source!AF81*Source!I81, 2)+ROUND(Source!AE81*Source!I81, 2))), 2)</f>
        <v>0</v>
      </c>
      <c r="V177">
        <f>Source!Y81</f>
        <v>0</v>
      </c>
      <c r="W177">
        <f>IF(Source!BI81&lt;=1,H177, 0)</f>
        <v>473.4</v>
      </c>
      <c r="X177">
        <f>IF(Source!BI81=2,H177, 0)</f>
        <v>0</v>
      </c>
      <c r="Y177">
        <f>IF(Source!BI81=3,H177, 0)</f>
        <v>0</v>
      </c>
      <c r="Z177">
        <f>IF(Source!BI81=4,H177, 0)</f>
        <v>0</v>
      </c>
    </row>
    <row r="178" spans="1:26" ht="14.25" x14ac:dyDescent="0.2">
      <c r="A178" s="45" t="str">
        <f>Source!E82</f>
        <v>17,3</v>
      </c>
      <c r="B178" s="46" t="str">
        <f>Source!F82</f>
        <v>11.2.02.01</v>
      </c>
      <c r="C178" s="46" t="str">
        <f>Source!G82</f>
        <v>Блоки дверные</v>
      </c>
      <c r="D178" s="29" t="str">
        <f>Source!H82</f>
        <v>м2</v>
      </c>
      <c r="E178" s="11">
        <f>Source!I82</f>
        <v>9.4499999999999993</v>
      </c>
      <c r="F178" s="30">
        <f>Source!AL82+Source!AM82+Source!AO82</f>
        <v>0</v>
      </c>
      <c r="G178" s="44" t="s">
        <v>6</v>
      </c>
      <c r="H178" s="30">
        <f>ROUND(Source!AC82*Source!I82, 2)+ROUND(Source!AD82*Source!I82, 2)+ROUND(Source!AF82*Source!I82, 2)</f>
        <v>0</v>
      </c>
      <c r="I178" s="31"/>
      <c r="J178" s="31">
        <f>IF(Source!BC82&lt;&gt; 0, Source!BC82, 1)</f>
        <v>6.71</v>
      </c>
      <c r="K178" s="30">
        <f>Source!O82</f>
        <v>0</v>
      </c>
      <c r="L178" s="32"/>
      <c r="S178">
        <f>ROUND((Source!FX82/100)*((ROUND(Source!AF82*Source!I82, 2)+ROUND(Source!AE82*Source!I82, 2))), 2)</f>
        <v>0</v>
      </c>
      <c r="T178">
        <f>Source!X82</f>
        <v>0</v>
      </c>
      <c r="U178">
        <f>ROUND((Source!FY82/100)*((ROUND(Source!AF82*Source!I82, 2)+ROUND(Source!AE82*Source!I82, 2))), 2)</f>
        <v>0</v>
      </c>
      <c r="V178">
        <f>Source!Y82</f>
        <v>0</v>
      </c>
      <c r="W178">
        <f>IF(Source!BI82&lt;=1,H178, 0)</f>
        <v>0</v>
      </c>
      <c r="X178">
        <f>IF(Source!BI82=2,H178, 0)</f>
        <v>0</v>
      </c>
      <c r="Y178">
        <f>IF(Source!BI82=3,H178, 0)</f>
        <v>0</v>
      </c>
      <c r="Z178">
        <f>IF(Source!BI82=4,H178, 0)</f>
        <v>0</v>
      </c>
    </row>
    <row r="179" spans="1:26" ht="42.75" x14ac:dyDescent="0.2">
      <c r="A179" s="47" t="str">
        <f>Source!E83</f>
        <v>17,4</v>
      </c>
      <c r="B179" s="48" t="str">
        <f>Source!F83</f>
        <v>11.2.02.01-0032</v>
      </c>
      <c r="C179" s="48" t="str">
        <f>Source!G83</f>
        <v>Блоки дверные внутренние однопольные глухие шлифованные, из массива сосны, тонированные</v>
      </c>
      <c r="D179" s="35" t="str">
        <f>Source!H83</f>
        <v>м2</v>
      </c>
      <c r="E179" s="36">
        <f>Source!I83</f>
        <v>9.4499999999999993</v>
      </c>
      <c r="F179" s="37">
        <f>Source!AL83+Source!AM83+Source!AO83</f>
        <v>1448.8</v>
      </c>
      <c r="G179" s="42" t="s">
        <v>6</v>
      </c>
      <c r="H179" s="37">
        <f>ROUND(Source!AC83*Source!I83, 2)+ROUND(Source!AD83*Source!I83, 2)+ROUND(Source!AF83*Source!I83, 2)</f>
        <v>13691.16</v>
      </c>
      <c r="I179" s="38"/>
      <c r="J179" s="38">
        <f>IF(Source!BC83&lt;&gt; 0, Source!BC83, 1)</f>
        <v>6.71</v>
      </c>
      <c r="K179" s="37">
        <f>Source!O83</f>
        <v>91867.68</v>
      </c>
      <c r="L179" s="43"/>
      <c r="S179">
        <f>ROUND((Source!FX83/100)*((ROUND(Source!AF83*Source!I83, 2)+ROUND(Source!AE83*Source!I83, 2))), 2)</f>
        <v>0</v>
      </c>
      <c r="T179">
        <f>Source!X83</f>
        <v>0</v>
      </c>
      <c r="U179">
        <f>ROUND((Source!FY83/100)*((ROUND(Source!AF83*Source!I83, 2)+ROUND(Source!AE83*Source!I83, 2))), 2)</f>
        <v>0</v>
      </c>
      <c r="V179">
        <f>Source!Y83</f>
        <v>0</v>
      </c>
      <c r="W179">
        <f>IF(Source!BI83&lt;=1,H179, 0)</f>
        <v>13691.16</v>
      </c>
      <c r="X179">
        <f>IF(Source!BI83=2,H179, 0)</f>
        <v>0</v>
      </c>
      <c r="Y179">
        <f>IF(Source!BI83=3,H179, 0)</f>
        <v>0</v>
      </c>
      <c r="Z179">
        <f>IF(Source!BI83=4,H179, 0)</f>
        <v>0</v>
      </c>
    </row>
    <row r="180" spans="1:26" ht="15" x14ac:dyDescent="0.25">
      <c r="G180" s="69">
        <f>H170+H171+H173+H174+H175+SUM(H177:H179)</f>
        <v>14776.039999999999</v>
      </c>
      <c r="H180" s="69"/>
      <c r="J180" s="69">
        <f>K170+K171+K173+K174+K175+SUM(K177:K179)</f>
        <v>99149.37999999999</v>
      </c>
      <c r="K180" s="69"/>
      <c r="L180" s="40">
        <f>Source!U79</f>
        <v>11.675607299999999</v>
      </c>
      <c r="O180" s="24">
        <f>G180</f>
        <v>14776.039999999999</v>
      </c>
      <c r="P180" s="24">
        <f>J180</f>
        <v>99149.37999999999</v>
      </c>
      <c r="Q180" s="24">
        <f>L180</f>
        <v>11.675607299999999</v>
      </c>
      <c r="W180">
        <f>IF(Source!BI79&lt;=1,H170+H171+H173+H174+H175, 0)</f>
        <v>611.48</v>
      </c>
      <c r="X180">
        <f>IF(Source!BI79=2,H170+H171+H173+H174+H175, 0)</f>
        <v>0</v>
      </c>
      <c r="Y180">
        <f>IF(Source!BI79=3,H170+H171+H173+H174+H175, 0)</f>
        <v>0</v>
      </c>
      <c r="Z180">
        <f>IF(Source!BI79=4,H170+H171+H173+H174+H175, 0)</f>
        <v>0</v>
      </c>
    </row>
    <row r="181" spans="1:26" ht="28.5" x14ac:dyDescent="0.2">
      <c r="A181" s="45" t="str">
        <f>Source!E84</f>
        <v>18</v>
      </c>
      <c r="B181" s="46" t="str">
        <f>Source!F84</f>
        <v>10-01-060-01</v>
      </c>
      <c r="C181" s="46" t="str">
        <f>Source!G84</f>
        <v>Установка и крепление наличников</v>
      </c>
      <c r="D181" s="29" t="str">
        <f>Source!H84</f>
        <v>100 м</v>
      </c>
      <c r="E181" s="11">
        <f>Source!I84</f>
        <v>0.5</v>
      </c>
      <c r="F181" s="30">
        <f>Source!AL84+Source!AM84+Source!AO84</f>
        <v>75.02</v>
      </c>
      <c r="G181" s="31"/>
      <c r="H181" s="30"/>
      <c r="I181" s="31" t="str">
        <f>Source!BO84</f>
        <v/>
      </c>
      <c r="J181" s="31"/>
      <c r="K181" s="30"/>
      <c r="L181" s="32"/>
      <c r="S181">
        <f>ROUND((Source!FX84/100)*((ROUND(Source!AF84*Source!I84, 2)+ROUND(Source!AE84*Source!I84, 2))), 2)</f>
        <v>47.2</v>
      </c>
      <c r="T181">
        <f>Source!X84</f>
        <v>316.01</v>
      </c>
      <c r="U181">
        <f>ROUND((Source!FY84/100)*((ROUND(Source!AF84*Source!I84, 2)+ROUND(Source!AE84*Source!I84, 2))), 2)</f>
        <v>23.8</v>
      </c>
      <c r="V181">
        <f>Source!Y84</f>
        <v>160.97999999999999</v>
      </c>
    </row>
    <row r="182" spans="1:26" x14ac:dyDescent="0.2">
      <c r="C182" s="23" t="str">
        <f>"Объем: "&amp;Source!I84&amp;"=50/"&amp;"100"</f>
        <v>Объем: 0,5=50/100</v>
      </c>
    </row>
    <row r="183" spans="1:26" ht="14.25" x14ac:dyDescent="0.2">
      <c r="A183" s="45"/>
      <c r="B183" s="46"/>
      <c r="C183" s="46" t="s">
        <v>1083</v>
      </c>
      <c r="D183" s="29"/>
      <c r="E183" s="11"/>
      <c r="F183" s="30">
        <f>Source!AO84</f>
        <v>63.89</v>
      </c>
      <c r="G183" s="31" t="str">
        <f>Source!DG84</f>
        <v>)*1,15)*1,2</v>
      </c>
      <c r="H183" s="30">
        <f>ROUND(Source!AF84*Source!I84, 2)</f>
        <v>44.09</v>
      </c>
      <c r="I183" s="31"/>
      <c r="J183" s="31">
        <f>IF(Source!BA84&lt;&gt; 0, Source!BA84, 1)</f>
        <v>6.71</v>
      </c>
      <c r="K183" s="30">
        <f>Source!S84</f>
        <v>295.81</v>
      </c>
      <c r="L183" s="32"/>
      <c r="R183">
        <f>H183</f>
        <v>44.09</v>
      </c>
    </row>
    <row r="184" spans="1:26" ht="14.25" x14ac:dyDescent="0.2">
      <c r="A184" s="45"/>
      <c r="B184" s="46"/>
      <c r="C184" s="46" t="s">
        <v>139</v>
      </c>
      <c r="D184" s="29"/>
      <c r="E184" s="11"/>
      <c r="F184" s="30">
        <f>Source!AM84</f>
        <v>2.63</v>
      </c>
      <c r="G184" s="31" t="str">
        <f>Source!DE84</f>
        <v>)*1,25)*1,2</v>
      </c>
      <c r="H184" s="30">
        <f>ROUND(Source!AD84*Source!I84, 2)</f>
        <v>1.98</v>
      </c>
      <c r="I184" s="31"/>
      <c r="J184" s="31">
        <f>IF(Source!BB84&lt;&gt; 0, Source!BB84, 1)</f>
        <v>6.71</v>
      </c>
      <c r="K184" s="30">
        <f>Source!Q84</f>
        <v>13.25</v>
      </c>
      <c r="L184" s="32"/>
    </row>
    <row r="185" spans="1:26" ht="14.25" x14ac:dyDescent="0.2">
      <c r="A185" s="45"/>
      <c r="B185" s="46"/>
      <c r="C185" s="46" t="s">
        <v>1084</v>
      </c>
      <c r="D185" s="29"/>
      <c r="E185" s="11"/>
      <c r="F185" s="30">
        <f>Source!AN84</f>
        <v>0.46</v>
      </c>
      <c r="G185" s="31" t="str">
        <f>Source!DF84</f>
        <v>)*1,25)*1,2</v>
      </c>
      <c r="H185" s="33">
        <f>ROUND(Source!AE84*Source!I84, 2)</f>
        <v>0.35</v>
      </c>
      <c r="I185" s="31"/>
      <c r="J185" s="31">
        <f>IF(Source!BS84&lt;&gt; 0, Source!BS84, 1)</f>
        <v>6.71</v>
      </c>
      <c r="K185" s="33">
        <f>Source!R84</f>
        <v>2.31</v>
      </c>
      <c r="L185" s="32"/>
      <c r="R185">
        <f>H185</f>
        <v>0.35</v>
      </c>
    </row>
    <row r="186" spans="1:26" ht="14.25" x14ac:dyDescent="0.2">
      <c r="A186" s="45"/>
      <c r="B186" s="46"/>
      <c r="C186" s="46" t="s">
        <v>1090</v>
      </c>
      <c r="D186" s="29"/>
      <c r="E186" s="11"/>
      <c r="F186" s="30">
        <f>Source!AL84</f>
        <v>8.5</v>
      </c>
      <c r="G186" s="31" t="str">
        <f>Source!DD84</f>
        <v/>
      </c>
      <c r="H186" s="30">
        <f>ROUND(Source!AC84*Source!I84, 2)</f>
        <v>4.25</v>
      </c>
      <c r="I186" s="31"/>
      <c r="J186" s="31">
        <f>IF(Source!BC84&lt;&gt; 0, Source!BC84, 1)</f>
        <v>6.71</v>
      </c>
      <c r="K186" s="30">
        <f>Source!P84</f>
        <v>28.52</v>
      </c>
      <c r="L186" s="32"/>
    </row>
    <row r="187" spans="1:26" ht="14.25" x14ac:dyDescent="0.2">
      <c r="A187" s="45"/>
      <c r="B187" s="46"/>
      <c r="C187" s="46" t="s">
        <v>1085</v>
      </c>
      <c r="D187" s="29" t="s">
        <v>1086</v>
      </c>
      <c r="E187" s="11">
        <f>Source!BZ84</f>
        <v>118</v>
      </c>
      <c r="F187" s="72" t="str">
        <f>CONCATENATE(" )", Source!DL84, Source!FT84, "=", Source!FX84)</f>
        <v xml:space="preserve"> )*0,9=106,2</v>
      </c>
      <c r="G187" s="73"/>
      <c r="H187" s="30">
        <f>SUM(S181:S191)</f>
        <v>47.2</v>
      </c>
      <c r="I187" s="34"/>
      <c r="J187" s="27">
        <f>Source!AT84</f>
        <v>106</v>
      </c>
      <c r="K187" s="30">
        <f>SUM(T181:T191)</f>
        <v>316.01</v>
      </c>
      <c r="L187" s="32"/>
    </row>
    <row r="188" spans="1:26" ht="14.25" x14ac:dyDescent="0.2">
      <c r="A188" s="45"/>
      <c r="B188" s="46"/>
      <c r="C188" s="46" t="s">
        <v>1087</v>
      </c>
      <c r="D188" s="29" t="s">
        <v>1086</v>
      </c>
      <c r="E188" s="11">
        <f>Source!CA84</f>
        <v>63</v>
      </c>
      <c r="F188" s="72" t="str">
        <f>CONCATENATE(" )", Source!DM84, Source!FU84, "=", Source!FY84)</f>
        <v xml:space="preserve"> )*0,85=53,55</v>
      </c>
      <c r="G188" s="73"/>
      <c r="H188" s="30">
        <f>SUM(U181:U191)</f>
        <v>23.8</v>
      </c>
      <c r="I188" s="34"/>
      <c r="J188" s="27">
        <f>Source!AU84</f>
        <v>54</v>
      </c>
      <c r="K188" s="30">
        <f>SUM(V181:V191)</f>
        <v>160.97999999999999</v>
      </c>
      <c r="L188" s="32"/>
    </row>
    <row r="189" spans="1:26" ht="14.25" x14ac:dyDescent="0.2">
      <c r="A189" s="45"/>
      <c r="B189" s="46"/>
      <c r="C189" s="46" t="s">
        <v>1088</v>
      </c>
      <c r="D189" s="29" t="s">
        <v>1089</v>
      </c>
      <c r="E189" s="11">
        <f>Source!AQ84</f>
        <v>7.82</v>
      </c>
      <c r="F189" s="30"/>
      <c r="G189" s="31" t="str">
        <f>Source!DI84</f>
        <v>)*1,15)*1,2</v>
      </c>
      <c r="H189" s="30"/>
      <c r="I189" s="31"/>
      <c r="J189" s="31"/>
      <c r="K189" s="30"/>
      <c r="L189" s="41">
        <f>Source!U84</f>
        <v>5.3958000000000004</v>
      </c>
    </row>
    <row r="190" spans="1:26" ht="14.25" x14ac:dyDescent="0.2">
      <c r="A190" s="45" t="str">
        <f>Source!E85</f>
        <v>18,1</v>
      </c>
      <c r="B190" s="46" t="str">
        <f>Source!F85</f>
        <v>11.1.01.10</v>
      </c>
      <c r="C190" s="46" t="str">
        <f>Source!G85</f>
        <v>Наличники</v>
      </c>
      <c r="D190" s="29" t="str">
        <f>Source!H85</f>
        <v>м</v>
      </c>
      <c r="E190" s="11">
        <f>Source!I85</f>
        <v>56</v>
      </c>
      <c r="F190" s="30">
        <f>Source!AL85+Source!AM85+Source!AO85</f>
        <v>0</v>
      </c>
      <c r="G190" s="44" t="s">
        <v>6</v>
      </c>
      <c r="H190" s="30">
        <f>ROUND(Source!AC85*Source!I85, 2)+ROUND(Source!AD85*Source!I85, 2)+ROUND(Source!AF85*Source!I85, 2)</f>
        <v>0</v>
      </c>
      <c r="I190" s="31"/>
      <c r="J190" s="31">
        <f>IF(Source!BC85&lt;&gt; 0, Source!BC85, 1)</f>
        <v>6.71</v>
      </c>
      <c r="K190" s="30">
        <f>Source!O85</f>
        <v>0</v>
      </c>
      <c r="L190" s="32"/>
      <c r="S190">
        <f>ROUND((Source!FX85/100)*((ROUND(Source!AF85*Source!I85, 2)+ROUND(Source!AE85*Source!I85, 2))), 2)</f>
        <v>0</v>
      </c>
      <c r="T190">
        <f>Source!X85</f>
        <v>0</v>
      </c>
      <c r="U190">
        <f>ROUND((Source!FY85/100)*((ROUND(Source!AF85*Source!I85, 2)+ROUND(Source!AE85*Source!I85, 2))), 2)</f>
        <v>0</v>
      </c>
      <c r="V190">
        <f>Source!Y85</f>
        <v>0</v>
      </c>
      <c r="W190">
        <f>IF(Source!BI85&lt;=1,H190, 0)</f>
        <v>0</v>
      </c>
      <c r="X190">
        <f>IF(Source!BI85=2,H190, 0)</f>
        <v>0</v>
      </c>
      <c r="Y190">
        <f>IF(Source!BI85=3,H190, 0)</f>
        <v>0</v>
      </c>
      <c r="Z190">
        <f>IF(Source!BI85=4,H190, 0)</f>
        <v>0</v>
      </c>
    </row>
    <row r="191" spans="1:26" ht="28.5" x14ac:dyDescent="0.2">
      <c r="A191" s="47" t="str">
        <f>Source!E86</f>
        <v>18,2</v>
      </c>
      <c r="B191" s="48" t="str">
        <f>Source!F86</f>
        <v>11.1.01.10-0003</v>
      </c>
      <c r="C191" s="48" t="str">
        <f>Source!G86</f>
        <v>Наличники из древесины типа Н-1, Н-2 размером 13х54 мм</v>
      </c>
      <c r="D191" s="35" t="str">
        <f>Source!H86</f>
        <v>м</v>
      </c>
      <c r="E191" s="36">
        <f>Source!I86</f>
        <v>56</v>
      </c>
      <c r="F191" s="37">
        <f>Source!AL86+Source!AM86+Source!AO86</f>
        <v>3.93</v>
      </c>
      <c r="G191" s="42" t="s">
        <v>6</v>
      </c>
      <c r="H191" s="37">
        <f>ROUND(Source!AC86*Source!I86, 2)+ROUND(Source!AD86*Source!I86, 2)+ROUND(Source!AF86*Source!I86, 2)</f>
        <v>220.08</v>
      </c>
      <c r="I191" s="38"/>
      <c r="J191" s="38">
        <f>IF(Source!BC86&lt;&gt; 0, Source!BC86, 1)</f>
        <v>6.71</v>
      </c>
      <c r="K191" s="37">
        <f>Source!O86</f>
        <v>1476.74</v>
      </c>
      <c r="L191" s="43"/>
      <c r="S191">
        <f>ROUND((Source!FX86/100)*((ROUND(Source!AF86*Source!I86, 2)+ROUND(Source!AE86*Source!I86, 2))), 2)</f>
        <v>0</v>
      </c>
      <c r="T191">
        <f>Source!X86</f>
        <v>0</v>
      </c>
      <c r="U191">
        <f>ROUND((Source!FY86/100)*((ROUND(Source!AF86*Source!I86, 2)+ROUND(Source!AE86*Source!I86, 2))), 2)</f>
        <v>0</v>
      </c>
      <c r="V191">
        <f>Source!Y86</f>
        <v>0</v>
      </c>
      <c r="W191">
        <f>IF(Source!BI86&lt;=1,H191, 0)</f>
        <v>220.08</v>
      </c>
      <c r="X191">
        <f>IF(Source!BI86=2,H191, 0)</f>
        <v>0</v>
      </c>
      <c r="Y191">
        <f>IF(Source!BI86=3,H191, 0)</f>
        <v>0</v>
      </c>
      <c r="Z191">
        <f>IF(Source!BI86=4,H191, 0)</f>
        <v>0</v>
      </c>
    </row>
    <row r="192" spans="1:26" ht="15" x14ac:dyDescent="0.25">
      <c r="G192" s="69">
        <f>H183+H184+H186+H187+H188+SUM(H190:H191)</f>
        <v>341.40000000000003</v>
      </c>
      <c r="H192" s="69"/>
      <c r="J192" s="69">
        <f>K183+K184+K186+K187+K188+SUM(K190:K191)</f>
        <v>2291.31</v>
      </c>
      <c r="K192" s="69"/>
      <c r="L192" s="40">
        <f>Source!U84</f>
        <v>5.3958000000000004</v>
      </c>
      <c r="O192" s="24">
        <f>G192</f>
        <v>341.40000000000003</v>
      </c>
      <c r="P192" s="24">
        <f>J192</f>
        <v>2291.31</v>
      </c>
      <c r="Q192" s="24">
        <f>L192</f>
        <v>5.3958000000000004</v>
      </c>
      <c r="W192">
        <f>IF(Source!BI84&lt;=1,H183+H184+H186+H187+H188, 0)</f>
        <v>121.32000000000001</v>
      </c>
      <c r="X192">
        <f>IF(Source!BI84=2,H183+H184+H186+H187+H188, 0)</f>
        <v>0</v>
      </c>
      <c r="Y192">
        <f>IF(Source!BI84=3,H183+H184+H186+H187+H188, 0)</f>
        <v>0</v>
      </c>
      <c r="Z192">
        <f>IF(Source!BI84=4,H183+H184+H186+H187+H188, 0)</f>
        <v>0</v>
      </c>
    </row>
    <row r="193" spans="1:26" ht="71.25" x14ac:dyDescent="0.2">
      <c r="A193" s="45" t="str">
        <f>Source!E87</f>
        <v>19</v>
      </c>
      <c r="B193" s="46" t="str">
        <f>Source!F87</f>
        <v>61-2-7</v>
      </c>
      <c r="C193" s="46" t="str">
        <f>Source!G87</f>
        <v>Ремонт штукатурки внутренних стен по камню и бетону цементно-известковым раствором, площадью отдельных мест до 1 м2 толщиной слоя до 20 мм</v>
      </c>
      <c r="D193" s="29" t="str">
        <f>Source!H87</f>
        <v>100 м2</v>
      </c>
      <c r="E193" s="11">
        <f>Source!I87</f>
        <v>0.14399999999999999</v>
      </c>
      <c r="F193" s="30">
        <f>Source!AL87+Source!AM87+Source!AO87</f>
        <v>3184.37</v>
      </c>
      <c r="G193" s="31"/>
      <c r="H193" s="30"/>
      <c r="I193" s="31" t="str">
        <f>Source!BO87</f>
        <v/>
      </c>
      <c r="J193" s="31"/>
      <c r="K193" s="30"/>
      <c r="L193" s="32"/>
      <c r="S193">
        <f>ROUND((Source!FX87/100)*((ROUND(Source!AF87*Source!I87, 2)+ROUND(Source!AE87*Source!I87, 2))), 2)</f>
        <v>231.19</v>
      </c>
      <c r="T193">
        <f>Source!X87</f>
        <v>1551.26</v>
      </c>
      <c r="U193">
        <f>ROUND((Source!FY87/100)*((ROUND(Source!AF87*Source!I87, 2)+ROUND(Source!AE87*Source!I87, 2))), 2)</f>
        <v>146.32</v>
      </c>
      <c r="V193">
        <f>Source!Y87</f>
        <v>981.81</v>
      </c>
    </row>
    <row r="194" spans="1:26" x14ac:dyDescent="0.2">
      <c r="C194" s="23" t="str">
        <f>"Объем: "&amp;Source!I87&amp;"=14,4/"&amp;"100"</f>
        <v>Объем: 0,144=14,4/100</v>
      </c>
    </row>
    <row r="195" spans="1:26" ht="14.25" x14ac:dyDescent="0.2">
      <c r="A195" s="45"/>
      <c r="B195" s="46"/>
      <c r="C195" s="46" t="s">
        <v>1083</v>
      </c>
      <c r="D195" s="29"/>
      <c r="E195" s="11"/>
      <c r="F195" s="30">
        <f>Source!AO87</f>
        <v>2023.18</v>
      </c>
      <c r="G195" s="31" t="str">
        <f>Source!DG87</f>
        <v/>
      </c>
      <c r="H195" s="30">
        <f>ROUND(Source!AF87*Source!I87, 2)</f>
        <v>291.33999999999997</v>
      </c>
      <c r="I195" s="31"/>
      <c r="J195" s="31">
        <f>IF(Source!BA87&lt;&gt; 0, Source!BA87, 1)</f>
        <v>6.71</v>
      </c>
      <c r="K195" s="30">
        <f>Source!S87</f>
        <v>1954.88</v>
      </c>
      <c r="L195" s="32"/>
      <c r="R195">
        <f>H195</f>
        <v>291.33999999999997</v>
      </c>
    </row>
    <row r="196" spans="1:26" ht="14.25" x14ac:dyDescent="0.2">
      <c r="A196" s="45"/>
      <c r="B196" s="46"/>
      <c r="C196" s="46" t="s">
        <v>139</v>
      </c>
      <c r="D196" s="29"/>
      <c r="E196" s="11"/>
      <c r="F196" s="30">
        <f>Source!AM87</f>
        <v>20.94</v>
      </c>
      <c r="G196" s="31" t="str">
        <f>Source!DE87</f>
        <v/>
      </c>
      <c r="H196" s="30">
        <f>ROUND(Source!AD87*Source!I87, 2)</f>
        <v>3.02</v>
      </c>
      <c r="I196" s="31"/>
      <c r="J196" s="31">
        <f>IF(Source!BB87&lt;&gt; 0, Source!BB87, 1)</f>
        <v>6.71</v>
      </c>
      <c r="K196" s="30">
        <f>Source!Q87</f>
        <v>20.23</v>
      </c>
      <c r="L196" s="32"/>
    </row>
    <row r="197" spans="1:26" ht="14.25" x14ac:dyDescent="0.2">
      <c r="A197" s="45"/>
      <c r="B197" s="46"/>
      <c r="C197" s="46" t="s">
        <v>1084</v>
      </c>
      <c r="D197" s="29"/>
      <c r="E197" s="11"/>
      <c r="F197" s="30">
        <f>Source!AN87</f>
        <v>9.0500000000000007</v>
      </c>
      <c r="G197" s="31" t="str">
        <f>Source!DF87</f>
        <v/>
      </c>
      <c r="H197" s="33">
        <f>ROUND(Source!AE87*Source!I87, 2)</f>
        <v>1.3</v>
      </c>
      <c r="I197" s="31"/>
      <c r="J197" s="31">
        <f>IF(Source!BS87&lt;&gt; 0, Source!BS87, 1)</f>
        <v>6.71</v>
      </c>
      <c r="K197" s="33">
        <f>Source!R87</f>
        <v>8.74</v>
      </c>
      <c r="L197" s="32"/>
      <c r="R197">
        <f>H197</f>
        <v>1.3</v>
      </c>
    </row>
    <row r="198" spans="1:26" ht="14.25" x14ac:dyDescent="0.2">
      <c r="A198" s="45"/>
      <c r="B198" s="46"/>
      <c r="C198" s="46" t="s">
        <v>1090</v>
      </c>
      <c r="D198" s="29"/>
      <c r="E198" s="11"/>
      <c r="F198" s="30">
        <f>Source!AL87</f>
        <v>1140.25</v>
      </c>
      <c r="G198" s="31" t="str">
        <f>Source!DD87</f>
        <v/>
      </c>
      <c r="H198" s="30">
        <f>ROUND(Source!AC87*Source!I87, 2)</f>
        <v>164.2</v>
      </c>
      <c r="I198" s="31"/>
      <c r="J198" s="31">
        <f>IF(Source!BC87&lt;&gt; 0, Source!BC87, 1)</f>
        <v>6.71</v>
      </c>
      <c r="K198" s="30">
        <f>Source!P87</f>
        <v>1101.76</v>
      </c>
      <c r="L198" s="32"/>
    </row>
    <row r="199" spans="1:26" ht="14.25" x14ac:dyDescent="0.2">
      <c r="A199" s="45"/>
      <c r="B199" s="46"/>
      <c r="C199" s="46" t="s">
        <v>1085</v>
      </c>
      <c r="D199" s="29" t="s">
        <v>1086</v>
      </c>
      <c r="E199" s="11">
        <f>Source!BZ87</f>
        <v>79</v>
      </c>
      <c r="F199" s="49"/>
      <c r="G199" s="31"/>
      <c r="H199" s="30">
        <f>SUM(S193:S201)</f>
        <v>231.19</v>
      </c>
      <c r="I199" s="34"/>
      <c r="J199" s="27">
        <f>Source!AT87</f>
        <v>79</v>
      </c>
      <c r="K199" s="30">
        <f>SUM(T193:T201)</f>
        <v>1551.26</v>
      </c>
      <c r="L199" s="32"/>
    </row>
    <row r="200" spans="1:26" ht="14.25" x14ac:dyDescent="0.2">
      <c r="A200" s="45"/>
      <c r="B200" s="46"/>
      <c r="C200" s="46" t="s">
        <v>1087</v>
      </c>
      <c r="D200" s="29" t="s">
        <v>1086</v>
      </c>
      <c r="E200" s="11">
        <f>Source!CA87</f>
        <v>50</v>
      </c>
      <c r="F200" s="49"/>
      <c r="G200" s="31"/>
      <c r="H200" s="30">
        <f>SUM(U193:U201)</f>
        <v>146.32</v>
      </c>
      <c r="I200" s="34"/>
      <c r="J200" s="27">
        <f>Source!AU87</f>
        <v>50</v>
      </c>
      <c r="K200" s="30">
        <f>SUM(V193:V201)</f>
        <v>981.81</v>
      </c>
      <c r="L200" s="32"/>
    </row>
    <row r="201" spans="1:26" ht="14.25" x14ac:dyDescent="0.2">
      <c r="A201" s="47"/>
      <c r="B201" s="48"/>
      <c r="C201" s="48" t="s">
        <v>1088</v>
      </c>
      <c r="D201" s="35" t="s">
        <v>1089</v>
      </c>
      <c r="E201" s="36">
        <f>Source!AQ87</f>
        <v>228.35</v>
      </c>
      <c r="F201" s="37"/>
      <c r="G201" s="38" t="str">
        <f>Source!DI87</f>
        <v/>
      </c>
      <c r="H201" s="37"/>
      <c r="I201" s="38"/>
      <c r="J201" s="38"/>
      <c r="K201" s="37"/>
      <c r="L201" s="39">
        <f>Source!U87</f>
        <v>32.882399999999997</v>
      </c>
    </row>
    <row r="202" spans="1:26" ht="15" x14ac:dyDescent="0.25">
      <c r="G202" s="69">
        <f>H195+H196+H198+H199+H200</f>
        <v>836.06999999999994</v>
      </c>
      <c r="H202" s="69"/>
      <c r="J202" s="69">
        <f>K195+K196+K198+K199+K200</f>
        <v>5609.9400000000005</v>
      </c>
      <c r="K202" s="69"/>
      <c r="L202" s="40">
        <f>Source!U87</f>
        <v>32.882399999999997</v>
      </c>
      <c r="O202" s="24">
        <f>G202</f>
        <v>836.06999999999994</v>
      </c>
      <c r="P202" s="24">
        <f>J202</f>
        <v>5609.9400000000005</v>
      </c>
      <c r="Q202" s="24">
        <f>L202</f>
        <v>32.882399999999997</v>
      </c>
      <c r="W202">
        <f>IF(Source!BI87&lt;=1,H195+H196+H198+H199+H200, 0)</f>
        <v>836.06999999999994</v>
      </c>
      <c r="X202">
        <f>IF(Source!BI87=2,H195+H196+H198+H199+H200, 0)</f>
        <v>0</v>
      </c>
      <c r="Y202">
        <f>IF(Source!BI87=3,H195+H196+H198+H199+H200, 0)</f>
        <v>0</v>
      </c>
      <c r="Z202">
        <f>IF(Source!BI87=4,H195+H196+H198+H199+H200, 0)</f>
        <v>0</v>
      </c>
    </row>
    <row r="203" spans="1:26" ht="28.5" x14ac:dyDescent="0.2">
      <c r="A203" s="45" t="str">
        <f>Source!E88</f>
        <v>20</v>
      </c>
      <c r="B203" s="46" t="str">
        <f>Source!F88</f>
        <v>62-42-1</v>
      </c>
      <c r="C203" s="46" t="str">
        <f>Source!G88</f>
        <v>Протравка цементной штукатурки нейтрализующим раствором</v>
      </c>
      <c r="D203" s="29" t="str">
        <f>Source!H88</f>
        <v>100 м2</v>
      </c>
      <c r="E203" s="11">
        <f>Source!I88</f>
        <v>0.46610000000000001</v>
      </c>
      <c r="F203" s="30">
        <f>Source!AL88+Source!AM88+Source!AO88</f>
        <v>37.1</v>
      </c>
      <c r="G203" s="31"/>
      <c r="H203" s="30"/>
      <c r="I203" s="31" t="str">
        <f>Source!BO88</f>
        <v/>
      </c>
      <c r="J203" s="31"/>
      <c r="K203" s="30"/>
      <c r="L203" s="32"/>
      <c r="S203">
        <f>ROUND((Source!FX88/100)*((ROUND(Source!AF88*Source!I88, 2)+ROUND(Source!AE88*Source!I88, 2))), 2)</f>
        <v>10.97</v>
      </c>
      <c r="T203">
        <f>Source!X88</f>
        <v>73.58</v>
      </c>
      <c r="U203">
        <f>ROUND((Source!FY88/100)*((ROUND(Source!AF88*Source!I88, 2)+ROUND(Source!AE88*Source!I88, 2))), 2)</f>
        <v>6.86</v>
      </c>
      <c r="V203">
        <f>Source!Y88</f>
        <v>45.99</v>
      </c>
    </row>
    <row r="204" spans="1:26" x14ac:dyDescent="0.2">
      <c r="C204" s="23" t="str">
        <f>"Объем: "&amp;Source!I88&amp;"=46,61/"&amp;"100"</f>
        <v>Объем: 0,4661=46,61/100</v>
      </c>
    </row>
    <row r="205" spans="1:26" ht="14.25" x14ac:dyDescent="0.2">
      <c r="A205" s="45"/>
      <c r="B205" s="46"/>
      <c r="C205" s="46" t="s">
        <v>1083</v>
      </c>
      <c r="D205" s="29"/>
      <c r="E205" s="11"/>
      <c r="F205" s="30">
        <f>Source!AO88</f>
        <v>29.41</v>
      </c>
      <c r="G205" s="31" t="str">
        <f>Source!DG88</f>
        <v/>
      </c>
      <c r="H205" s="30">
        <f>ROUND(Source!AF88*Source!I88, 2)</f>
        <v>13.71</v>
      </c>
      <c r="I205" s="31"/>
      <c r="J205" s="31">
        <f>IF(Source!BA88&lt;&gt; 0, Source!BA88, 1)</f>
        <v>6.71</v>
      </c>
      <c r="K205" s="30">
        <f>Source!S88</f>
        <v>91.98</v>
      </c>
      <c r="L205" s="32"/>
      <c r="R205">
        <f>H205</f>
        <v>13.71</v>
      </c>
    </row>
    <row r="206" spans="1:26" ht="14.25" x14ac:dyDescent="0.2">
      <c r="A206" s="45"/>
      <c r="B206" s="46"/>
      <c r="C206" s="46" t="s">
        <v>1090</v>
      </c>
      <c r="D206" s="29"/>
      <c r="E206" s="11"/>
      <c r="F206" s="30">
        <f>Source!AL88</f>
        <v>7.69</v>
      </c>
      <c r="G206" s="31" t="str">
        <f>Source!DD88</f>
        <v/>
      </c>
      <c r="H206" s="30">
        <f>ROUND(Source!AC88*Source!I88, 2)</f>
        <v>3.58</v>
      </c>
      <c r="I206" s="31"/>
      <c r="J206" s="31">
        <f>IF(Source!BC88&lt;&gt; 0, Source!BC88, 1)</f>
        <v>6.71</v>
      </c>
      <c r="K206" s="30">
        <f>Source!P88</f>
        <v>24.05</v>
      </c>
      <c r="L206" s="32"/>
    </row>
    <row r="207" spans="1:26" ht="14.25" x14ac:dyDescent="0.2">
      <c r="A207" s="45"/>
      <c r="B207" s="46"/>
      <c r="C207" s="46" t="s">
        <v>1085</v>
      </c>
      <c r="D207" s="29" t="s">
        <v>1086</v>
      </c>
      <c r="E207" s="11">
        <f>Source!BZ88</f>
        <v>80</v>
      </c>
      <c r="F207" s="49"/>
      <c r="G207" s="31"/>
      <c r="H207" s="30">
        <f>SUM(S203:S209)</f>
        <v>10.97</v>
      </c>
      <c r="I207" s="34"/>
      <c r="J207" s="27">
        <f>Source!AT88</f>
        <v>80</v>
      </c>
      <c r="K207" s="30">
        <f>SUM(T203:T209)</f>
        <v>73.58</v>
      </c>
      <c r="L207" s="32"/>
    </row>
    <row r="208" spans="1:26" ht="14.25" x14ac:dyDescent="0.2">
      <c r="A208" s="45"/>
      <c r="B208" s="46"/>
      <c r="C208" s="46" t="s">
        <v>1087</v>
      </c>
      <c r="D208" s="29" t="s">
        <v>1086</v>
      </c>
      <c r="E208" s="11">
        <f>Source!CA88</f>
        <v>50</v>
      </c>
      <c r="F208" s="49"/>
      <c r="G208" s="31"/>
      <c r="H208" s="30">
        <f>SUM(U203:U209)</f>
        <v>6.86</v>
      </c>
      <c r="I208" s="34"/>
      <c r="J208" s="27">
        <f>Source!AU88</f>
        <v>50</v>
      </c>
      <c r="K208" s="30">
        <f>SUM(V203:V209)</f>
        <v>45.99</v>
      </c>
      <c r="L208" s="32"/>
    </row>
    <row r="209" spans="1:26" ht="14.25" x14ac:dyDescent="0.2">
      <c r="A209" s="47"/>
      <c r="B209" s="48"/>
      <c r="C209" s="48" t="s">
        <v>1088</v>
      </c>
      <c r="D209" s="35" t="s">
        <v>1089</v>
      </c>
      <c r="E209" s="36">
        <f>Source!AQ88</f>
        <v>3.77</v>
      </c>
      <c r="F209" s="37"/>
      <c r="G209" s="38" t="str">
        <f>Source!DI88</f>
        <v/>
      </c>
      <c r="H209" s="37"/>
      <c r="I209" s="38"/>
      <c r="J209" s="38"/>
      <c r="K209" s="37"/>
      <c r="L209" s="39">
        <f>Source!U88</f>
        <v>1.7571970000000001</v>
      </c>
    </row>
    <row r="210" spans="1:26" ht="15" x14ac:dyDescent="0.25">
      <c r="G210" s="69">
        <f>H205+H206+H207+H208</f>
        <v>35.119999999999997</v>
      </c>
      <c r="H210" s="69"/>
      <c r="J210" s="69">
        <f>K205+K206+K207+K208</f>
        <v>235.60000000000002</v>
      </c>
      <c r="K210" s="69"/>
      <c r="L210" s="40">
        <f>Source!U88</f>
        <v>1.7571970000000001</v>
      </c>
      <c r="O210" s="24">
        <f>G210</f>
        <v>35.119999999999997</v>
      </c>
      <c r="P210" s="24">
        <f>J210</f>
        <v>235.60000000000002</v>
      </c>
      <c r="Q210" s="24">
        <f>L210</f>
        <v>1.7571970000000001</v>
      </c>
      <c r="W210">
        <f>IF(Source!BI88&lt;=1,H205+H206+H207+H208, 0)</f>
        <v>35.119999999999997</v>
      </c>
      <c r="X210">
        <f>IF(Source!BI88=2,H205+H206+H207+H208, 0)</f>
        <v>0</v>
      </c>
      <c r="Y210">
        <f>IF(Source!BI88=3,H205+H206+H207+H208, 0)</f>
        <v>0</v>
      </c>
      <c r="Z210">
        <f>IF(Source!BI88=4,H205+H206+H207+H208, 0)</f>
        <v>0</v>
      </c>
    </row>
    <row r="211" spans="1:26" ht="28.5" x14ac:dyDescent="0.2">
      <c r="A211" s="45" t="str">
        <f>Source!E89</f>
        <v>21</v>
      </c>
      <c r="B211" s="46" t="str">
        <f>Source!F89</f>
        <v>15-04-006-03</v>
      </c>
      <c r="C211" s="46" t="str">
        <f>Source!G89</f>
        <v>Покрытие поверхностей грунтовкой глубокого проникновения за 1 раз стен</v>
      </c>
      <c r="D211" s="29" t="str">
        <f>Source!H89</f>
        <v>100 м2</v>
      </c>
      <c r="E211" s="11">
        <f>Source!I89</f>
        <v>4.68</v>
      </c>
      <c r="F211" s="30">
        <f>Source!AL89+Source!AM89+Source!AO89</f>
        <v>64.16</v>
      </c>
      <c r="G211" s="31"/>
      <c r="H211" s="30"/>
      <c r="I211" s="31" t="str">
        <f>Source!BO89</f>
        <v/>
      </c>
      <c r="J211" s="31"/>
      <c r="K211" s="30"/>
      <c r="L211" s="32"/>
      <c r="S211">
        <f>ROUND((Source!FX89/100)*((ROUND(Source!AF89*Source!I89, 2)+ROUND(Source!AE89*Source!I89, 2))), 2)</f>
        <v>386.28</v>
      </c>
      <c r="T211">
        <f>Source!X89</f>
        <v>2605.58</v>
      </c>
      <c r="U211">
        <f>ROUND((Source!FY89/100)*((ROUND(Source!AF89*Source!I89, 2)+ROUND(Source!AE89*Source!I89, 2))), 2)</f>
        <v>191.1</v>
      </c>
      <c r="V211">
        <f>Source!Y89</f>
        <v>1289.08</v>
      </c>
    </row>
    <row r="212" spans="1:26" x14ac:dyDescent="0.2">
      <c r="C212" s="23" t="str">
        <f>"Объем: "&amp;Source!I89&amp;"=468/"&amp;"100"</f>
        <v>Объем: 4,68=468/100</v>
      </c>
    </row>
    <row r="213" spans="1:26" ht="14.25" x14ac:dyDescent="0.2">
      <c r="A213" s="45"/>
      <c r="B213" s="46"/>
      <c r="C213" s="46" t="s">
        <v>1083</v>
      </c>
      <c r="D213" s="29"/>
      <c r="E213" s="11"/>
      <c r="F213" s="30">
        <f>Source!AO89</f>
        <v>63.01</v>
      </c>
      <c r="G213" s="31" t="str">
        <f>Source!DG89</f>
        <v>)*1,15)*1,2</v>
      </c>
      <c r="H213" s="30">
        <f>ROUND(Source!AF89*Source!I89, 2)</f>
        <v>406.93</v>
      </c>
      <c r="I213" s="31"/>
      <c r="J213" s="31">
        <f>IF(Source!BA89&lt;&gt; 0, Source!BA89, 1)</f>
        <v>6.71</v>
      </c>
      <c r="K213" s="30">
        <f>Source!S89</f>
        <v>2730.47</v>
      </c>
      <c r="L213" s="32"/>
      <c r="R213">
        <f>H213</f>
        <v>406.93</v>
      </c>
    </row>
    <row r="214" spans="1:26" ht="14.25" x14ac:dyDescent="0.2">
      <c r="A214" s="45"/>
      <c r="B214" s="46"/>
      <c r="C214" s="46" t="s">
        <v>139</v>
      </c>
      <c r="D214" s="29"/>
      <c r="E214" s="11"/>
      <c r="F214" s="30">
        <f>Source!AM89</f>
        <v>0.97</v>
      </c>
      <c r="G214" s="31" t="str">
        <f>Source!DE89</f>
        <v>)*1,25)*1,2</v>
      </c>
      <c r="H214" s="30">
        <f>ROUND(Source!AD89*Source!I89, 2)</f>
        <v>6.83</v>
      </c>
      <c r="I214" s="31"/>
      <c r="J214" s="31">
        <f>IF(Source!BB89&lt;&gt; 0, Source!BB89, 1)</f>
        <v>6.71</v>
      </c>
      <c r="K214" s="30">
        <f>Source!Q89</f>
        <v>45.85</v>
      </c>
      <c r="L214" s="32"/>
    </row>
    <row r="215" spans="1:26" ht="14.25" x14ac:dyDescent="0.2">
      <c r="A215" s="45"/>
      <c r="B215" s="46"/>
      <c r="C215" s="46" t="s">
        <v>1084</v>
      </c>
      <c r="D215" s="29"/>
      <c r="E215" s="11"/>
      <c r="F215" s="30">
        <f>Source!AN89</f>
        <v>0.26</v>
      </c>
      <c r="G215" s="31" t="str">
        <f>Source!DF89</f>
        <v>)*1,25)*1,2</v>
      </c>
      <c r="H215" s="33">
        <f>ROUND(Source!AE89*Source!I89, 2)</f>
        <v>1.83</v>
      </c>
      <c r="I215" s="31"/>
      <c r="J215" s="31">
        <f>IF(Source!BS89&lt;&gt; 0, Source!BS89, 1)</f>
        <v>6.71</v>
      </c>
      <c r="K215" s="33">
        <f>Source!R89</f>
        <v>12.25</v>
      </c>
      <c r="L215" s="32"/>
      <c r="R215">
        <f>H215</f>
        <v>1.83</v>
      </c>
    </row>
    <row r="216" spans="1:26" ht="14.25" x14ac:dyDescent="0.2">
      <c r="A216" s="45"/>
      <c r="B216" s="46"/>
      <c r="C216" s="46" t="s">
        <v>1090</v>
      </c>
      <c r="D216" s="29"/>
      <c r="E216" s="11"/>
      <c r="F216" s="30">
        <f>Source!AL89</f>
        <v>0.18</v>
      </c>
      <c r="G216" s="31" t="str">
        <f>Source!DD89</f>
        <v/>
      </c>
      <c r="H216" s="30">
        <f>ROUND(Source!AC89*Source!I89, 2)</f>
        <v>0.84</v>
      </c>
      <c r="I216" s="31"/>
      <c r="J216" s="31">
        <f>IF(Source!BC89&lt;&gt; 0, Source!BC89, 1)</f>
        <v>6.71</v>
      </c>
      <c r="K216" s="30">
        <f>Source!P89</f>
        <v>5.65</v>
      </c>
      <c r="L216" s="32"/>
    </row>
    <row r="217" spans="1:26" ht="14.25" x14ac:dyDescent="0.2">
      <c r="A217" s="45"/>
      <c r="B217" s="46"/>
      <c r="C217" s="46" t="s">
        <v>1085</v>
      </c>
      <c r="D217" s="29" t="s">
        <v>1086</v>
      </c>
      <c r="E217" s="11">
        <f>Source!BZ89</f>
        <v>105</v>
      </c>
      <c r="F217" s="72" t="str">
        <f>CONCATENATE(" )", Source!DL89, Source!FT89, "=", Source!FX89)</f>
        <v xml:space="preserve"> )*0,9=94,5</v>
      </c>
      <c r="G217" s="73"/>
      <c r="H217" s="30">
        <f>SUM(S211:S221)</f>
        <v>386.28</v>
      </c>
      <c r="I217" s="34"/>
      <c r="J217" s="27">
        <f>Source!AT89</f>
        <v>95</v>
      </c>
      <c r="K217" s="30">
        <f>SUM(T211:T221)</f>
        <v>2605.58</v>
      </c>
      <c r="L217" s="32"/>
    </row>
    <row r="218" spans="1:26" ht="14.25" x14ac:dyDescent="0.2">
      <c r="A218" s="45"/>
      <c r="B218" s="46"/>
      <c r="C218" s="46" t="s">
        <v>1087</v>
      </c>
      <c r="D218" s="29" t="s">
        <v>1086</v>
      </c>
      <c r="E218" s="11">
        <f>Source!CA89</f>
        <v>55</v>
      </c>
      <c r="F218" s="72" t="str">
        <f>CONCATENATE(" )", Source!DM89, Source!FU89, "=", Source!FY89)</f>
        <v xml:space="preserve"> )*0,85=46,75</v>
      </c>
      <c r="G218" s="73"/>
      <c r="H218" s="30">
        <f>SUM(U211:U221)</f>
        <v>191.1</v>
      </c>
      <c r="I218" s="34"/>
      <c r="J218" s="27">
        <f>Source!AU89</f>
        <v>47</v>
      </c>
      <c r="K218" s="30">
        <f>SUM(V211:V221)</f>
        <v>1289.08</v>
      </c>
      <c r="L218" s="32"/>
    </row>
    <row r="219" spans="1:26" ht="14.25" x14ac:dyDescent="0.2">
      <c r="A219" s="45"/>
      <c r="B219" s="46"/>
      <c r="C219" s="46" t="s">
        <v>1088</v>
      </c>
      <c r="D219" s="29" t="s">
        <v>1089</v>
      </c>
      <c r="E219" s="11">
        <f>Source!AQ89</f>
        <v>6.55</v>
      </c>
      <c r="F219" s="30"/>
      <c r="G219" s="31" t="str">
        <f>Source!DI89</f>
        <v>)*1,15)*1,2</v>
      </c>
      <c r="H219" s="30"/>
      <c r="I219" s="31"/>
      <c r="J219" s="31"/>
      <c r="K219" s="30"/>
      <c r="L219" s="41">
        <f>Source!U89</f>
        <v>42.302519999999987</v>
      </c>
    </row>
    <row r="220" spans="1:26" ht="14.25" x14ac:dyDescent="0.2">
      <c r="A220" s="45" t="str">
        <f>Source!E90</f>
        <v>21,1</v>
      </c>
      <c r="B220" s="46" t="str">
        <f>Source!F90</f>
        <v>14.4.01.21</v>
      </c>
      <c r="C220" s="46" t="str">
        <f>Source!G90</f>
        <v>Грунтовка</v>
      </c>
      <c r="D220" s="29" t="str">
        <f>Source!H90</f>
        <v>т</v>
      </c>
      <c r="E220" s="11">
        <f>Source!I90</f>
        <v>6.0839999999999998E-2</v>
      </c>
      <c r="F220" s="30">
        <f>Source!AL90+Source!AM90+Source!AO90</f>
        <v>0</v>
      </c>
      <c r="G220" s="44" t="s">
        <v>6</v>
      </c>
      <c r="H220" s="30">
        <f>ROUND(Source!AC90*Source!I90, 2)+ROUND(Source!AD90*Source!I90, 2)+ROUND(Source!AF90*Source!I90, 2)</f>
        <v>0</v>
      </c>
      <c r="I220" s="31"/>
      <c r="J220" s="31">
        <f>IF(Source!BC90&lt;&gt; 0, Source!BC90, 1)</f>
        <v>6.71</v>
      </c>
      <c r="K220" s="30">
        <f>Source!O90</f>
        <v>0</v>
      </c>
      <c r="L220" s="32"/>
      <c r="S220">
        <f>ROUND((Source!FX90/100)*((ROUND(Source!AF90*Source!I90, 2)+ROUND(Source!AE90*Source!I90, 2))), 2)</f>
        <v>0</v>
      </c>
      <c r="T220">
        <f>Source!X90</f>
        <v>0</v>
      </c>
      <c r="U220">
        <f>ROUND((Source!FY90/100)*((ROUND(Source!AF90*Source!I90, 2)+ROUND(Source!AE90*Source!I90, 2))), 2)</f>
        <v>0</v>
      </c>
      <c r="V220">
        <f>Source!Y90</f>
        <v>0</v>
      </c>
      <c r="W220">
        <f>IF(Source!BI90&lt;=1,H220, 0)</f>
        <v>0</v>
      </c>
      <c r="X220">
        <f>IF(Source!BI90=2,H220, 0)</f>
        <v>0</v>
      </c>
      <c r="Y220">
        <f>IF(Source!BI90=3,H220, 0)</f>
        <v>0</v>
      </c>
      <c r="Z220">
        <f>IF(Source!BI90=4,H220, 0)</f>
        <v>0</v>
      </c>
    </row>
    <row r="221" spans="1:26" ht="42.75" x14ac:dyDescent="0.2">
      <c r="A221" s="47" t="str">
        <f>Source!E91</f>
        <v>21,2</v>
      </c>
      <c r="B221" s="48" t="str">
        <f>Source!F91</f>
        <v>14.4.01.02-0201</v>
      </c>
      <c r="C221" s="48" t="str">
        <f>Source!G91</f>
        <v>Грунтовка: акриловая упрочняющая стабилизирующая глубокого проникновения "БИРСС Грунт М"</v>
      </c>
      <c r="D221" s="35" t="str">
        <f>Source!H91</f>
        <v>т</v>
      </c>
      <c r="E221" s="36">
        <f>Source!I91</f>
        <v>6.0839999999999998E-2</v>
      </c>
      <c r="F221" s="37">
        <f>Source!AL91+Source!AM91+Source!AO91</f>
        <v>30554.42</v>
      </c>
      <c r="G221" s="42" t="s">
        <v>6</v>
      </c>
      <c r="H221" s="37">
        <f>ROUND(Source!AC91*Source!I91, 2)+ROUND(Source!AD91*Source!I91, 2)+ROUND(Source!AF91*Source!I91, 2)</f>
        <v>1858.93</v>
      </c>
      <c r="I221" s="38"/>
      <c r="J221" s="38">
        <f>IF(Source!BC91&lt;&gt; 0, Source!BC91, 1)</f>
        <v>6.71</v>
      </c>
      <c r="K221" s="37">
        <f>Source!O91</f>
        <v>12473.43</v>
      </c>
      <c r="L221" s="43"/>
      <c r="S221">
        <f>ROUND((Source!FX91/100)*((ROUND(Source!AF91*Source!I91, 2)+ROUND(Source!AE91*Source!I91, 2))), 2)</f>
        <v>0</v>
      </c>
      <c r="T221">
        <f>Source!X91</f>
        <v>0</v>
      </c>
      <c r="U221">
        <f>ROUND((Source!FY91/100)*((ROUND(Source!AF91*Source!I91, 2)+ROUND(Source!AE91*Source!I91, 2))), 2)</f>
        <v>0</v>
      </c>
      <c r="V221">
        <f>Source!Y91</f>
        <v>0</v>
      </c>
      <c r="W221">
        <f>IF(Source!BI91&lt;=1,H221, 0)</f>
        <v>1858.93</v>
      </c>
      <c r="X221">
        <f>IF(Source!BI91=2,H221, 0)</f>
        <v>0</v>
      </c>
      <c r="Y221">
        <f>IF(Source!BI91=3,H221, 0)</f>
        <v>0</v>
      </c>
      <c r="Z221">
        <f>IF(Source!BI91=4,H221, 0)</f>
        <v>0</v>
      </c>
    </row>
    <row r="222" spans="1:26" ht="15" x14ac:dyDescent="0.25">
      <c r="G222" s="69">
        <f>H213+H214+H216+H217+H218+SUM(H220:H221)</f>
        <v>2850.91</v>
      </c>
      <c r="H222" s="69"/>
      <c r="J222" s="69">
        <f>K213+K214+K216+K217+K218+SUM(K220:K221)</f>
        <v>19150.059999999998</v>
      </c>
      <c r="K222" s="69"/>
      <c r="L222" s="40">
        <f>Source!U89</f>
        <v>42.302519999999987</v>
      </c>
      <c r="O222" s="24">
        <f>G222</f>
        <v>2850.91</v>
      </c>
      <c r="P222" s="24">
        <f>J222</f>
        <v>19150.059999999998</v>
      </c>
      <c r="Q222" s="24">
        <f>L222</f>
        <v>42.302519999999987</v>
      </c>
      <c r="W222">
        <f>IF(Source!BI89&lt;=1,H213+H214+H216+H217+H218, 0)</f>
        <v>991.9799999999999</v>
      </c>
      <c r="X222">
        <f>IF(Source!BI89=2,H213+H214+H216+H217+H218, 0)</f>
        <v>0</v>
      </c>
      <c r="Y222">
        <f>IF(Source!BI89=3,H213+H214+H216+H217+H218, 0)</f>
        <v>0</v>
      </c>
      <c r="Z222">
        <f>IF(Source!BI89=4,H213+H214+H216+H217+H218, 0)</f>
        <v>0</v>
      </c>
    </row>
    <row r="223" spans="1:26" ht="71.25" x14ac:dyDescent="0.2">
      <c r="A223" s="45" t="str">
        <f>Source!E92</f>
        <v>22</v>
      </c>
      <c r="B223" s="46" t="str">
        <f>Source!F92</f>
        <v>62-17-4</v>
      </c>
      <c r="C223" s="46" t="str">
        <f>Source!G92</f>
        <v>Окрашивание водоэмульсионными составами поверхностей потолков, ранее окрашенных водоэмульсионной краской, с расчисткой старой краски более 35%</v>
      </c>
      <c r="D223" s="29" t="str">
        <f>Source!H92</f>
        <v>100 м2</v>
      </c>
      <c r="E223" s="11">
        <f>Source!I92</f>
        <v>1.663</v>
      </c>
      <c r="F223" s="30">
        <f>Source!AL92+Source!AM92+Source!AO92</f>
        <v>812.32</v>
      </c>
      <c r="G223" s="31"/>
      <c r="H223" s="30"/>
      <c r="I223" s="31" t="str">
        <f>Source!BO92</f>
        <v/>
      </c>
      <c r="J223" s="31"/>
      <c r="K223" s="30"/>
      <c r="L223" s="32"/>
      <c r="S223">
        <f>ROUND((Source!FX92/100)*((ROUND(Source!AF92*Source!I92, 2)+ROUND(Source!AE92*Source!I92, 2))), 2)</f>
        <v>391.02</v>
      </c>
      <c r="T223">
        <f>Source!X92</f>
        <v>2623.74</v>
      </c>
      <c r="U223">
        <f>ROUND((Source!FY92/100)*((ROUND(Source!AF92*Source!I92, 2)+ROUND(Source!AE92*Source!I92, 2))), 2)</f>
        <v>244.39</v>
      </c>
      <c r="V223">
        <f>Source!Y92</f>
        <v>1639.84</v>
      </c>
    </row>
    <row r="224" spans="1:26" x14ac:dyDescent="0.2">
      <c r="C224" s="23" t="str">
        <f>"Объем: "&amp;Source!I92&amp;"=166,3/"&amp;"100"</f>
        <v>Объем: 1,663=166,3/100</v>
      </c>
    </row>
    <row r="225" spans="1:26" ht="14.25" x14ac:dyDescent="0.2">
      <c r="A225" s="45"/>
      <c r="B225" s="46"/>
      <c r="C225" s="46" t="s">
        <v>1083</v>
      </c>
      <c r="D225" s="29"/>
      <c r="E225" s="11"/>
      <c r="F225" s="30">
        <f>Source!AO92</f>
        <v>291.86</v>
      </c>
      <c r="G225" s="31" t="str">
        <f>Source!DG92</f>
        <v/>
      </c>
      <c r="H225" s="30">
        <f>ROUND(Source!AF92*Source!I92, 2)</f>
        <v>485.36</v>
      </c>
      <c r="I225" s="31"/>
      <c r="J225" s="31">
        <f>IF(Source!BA92&lt;&gt; 0, Source!BA92, 1)</f>
        <v>6.71</v>
      </c>
      <c r="K225" s="30">
        <f>Source!S92</f>
        <v>3256.79</v>
      </c>
      <c r="L225" s="32"/>
      <c r="R225">
        <f>H225</f>
        <v>485.36</v>
      </c>
    </row>
    <row r="226" spans="1:26" ht="14.25" x14ac:dyDescent="0.2">
      <c r="A226" s="45"/>
      <c r="B226" s="46"/>
      <c r="C226" s="46" t="s">
        <v>139</v>
      </c>
      <c r="D226" s="29"/>
      <c r="E226" s="11"/>
      <c r="F226" s="30">
        <f>Source!AM92</f>
        <v>7.07</v>
      </c>
      <c r="G226" s="31" t="str">
        <f>Source!DE92</f>
        <v/>
      </c>
      <c r="H226" s="30">
        <f>ROUND(Source!AD92*Source!I92, 2)</f>
        <v>11.76</v>
      </c>
      <c r="I226" s="31"/>
      <c r="J226" s="31">
        <f>IF(Source!BB92&lt;&gt; 0, Source!BB92, 1)</f>
        <v>6.71</v>
      </c>
      <c r="K226" s="30">
        <f>Source!Q92</f>
        <v>78.89</v>
      </c>
      <c r="L226" s="32"/>
    </row>
    <row r="227" spans="1:26" ht="14.25" x14ac:dyDescent="0.2">
      <c r="A227" s="45"/>
      <c r="B227" s="46"/>
      <c r="C227" s="46" t="s">
        <v>1084</v>
      </c>
      <c r="D227" s="29"/>
      <c r="E227" s="11"/>
      <c r="F227" s="30">
        <f>Source!AN92</f>
        <v>2.0499999999999998</v>
      </c>
      <c r="G227" s="31" t="str">
        <f>Source!DF92</f>
        <v/>
      </c>
      <c r="H227" s="33">
        <f>ROUND(Source!AE92*Source!I92, 2)</f>
        <v>3.41</v>
      </c>
      <c r="I227" s="31"/>
      <c r="J227" s="31">
        <f>IF(Source!BS92&lt;&gt; 0, Source!BS92, 1)</f>
        <v>6.71</v>
      </c>
      <c r="K227" s="33">
        <f>Source!R92</f>
        <v>22.88</v>
      </c>
      <c r="L227" s="32"/>
      <c r="R227">
        <f>H227</f>
        <v>3.41</v>
      </c>
    </row>
    <row r="228" spans="1:26" ht="14.25" x14ac:dyDescent="0.2">
      <c r="A228" s="45"/>
      <c r="B228" s="46"/>
      <c r="C228" s="46" t="s">
        <v>1090</v>
      </c>
      <c r="D228" s="29"/>
      <c r="E228" s="11"/>
      <c r="F228" s="30">
        <f>Source!AL92</f>
        <v>513.39</v>
      </c>
      <c r="G228" s="31" t="str">
        <f>Source!DD92</f>
        <v/>
      </c>
      <c r="H228" s="30">
        <f>ROUND(Source!AC92*Source!I92, 2)</f>
        <v>853.77</v>
      </c>
      <c r="I228" s="31"/>
      <c r="J228" s="31">
        <f>IF(Source!BC92&lt;&gt; 0, Source!BC92, 1)</f>
        <v>6.71</v>
      </c>
      <c r="K228" s="30">
        <f>Source!P92</f>
        <v>5728.78</v>
      </c>
      <c r="L228" s="32"/>
    </row>
    <row r="229" spans="1:26" ht="14.25" x14ac:dyDescent="0.2">
      <c r="A229" s="45"/>
      <c r="B229" s="46"/>
      <c r="C229" s="46" t="s">
        <v>1085</v>
      </c>
      <c r="D229" s="29" t="s">
        <v>1086</v>
      </c>
      <c r="E229" s="11">
        <f>Source!BZ92</f>
        <v>80</v>
      </c>
      <c r="F229" s="49"/>
      <c r="G229" s="31"/>
      <c r="H229" s="30">
        <f>SUM(S223:S233)</f>
        <v>391.02</v>
      </c>
      <c r="I229" s="34"/>
      <c r="J229" s="27">
        <f>Source!AT92</f>
        <v>80</v>
      </c>
      <c r="K229" s="30">
        <f>SUM(T223:T233)</f>
        <v>2623.74</v>
      </c>
      <c r="L229" s="32"/>
    </row>
    <row r="230" spans="1:26" ht="14.25" x14ac:dyDescent="0.2">
      <c r="A230" s="45"/>
      <c r="B230" s="46"/>
      <c r="C230" s="46" t="s">
        <v>1087</v>
      </c>
      <c r="D230" s="29" t="s">
        <v>1086</v>
      </c>
      <c r="E230" s="11">
        <f>Source!CA92</f>
        <v>50</v>
      </c>
      <c r="F230" s="49"/>
      <c r="G230" s="31"/>
      <c r="H230" s="30">
        <f>SUM(U223:U233)</f>
        <v>244.39</v>
      </c>
      <c r="I230" s="34"/>
      <c r="J230" s="27">
        <f>Source!AU92</f>
        <v>50</v>
      </c>
      <c r="K230" s="30">
        <f>SUM(V223:V233)</f>
        <v>1639.84</v>
      </c>
      <c r="L230" s="32"/>
    </row>
    <row r="231" spans="1:26" ht="14.25" x14ac:dyDescent="0.2">
      <c r="A231" s="45"/>
      <c r="B231" s="46"/>
      <c r="C231" s="46" t="s">
        <v>1088</v>
      </c>
      <c r="D231" s="29" t="s">
        <v>1089</v>
      </c>
      <c r="E231" s="11">
        <f>Source!AQ92</f>
        <v>33.78</v>
      </c>
      <c r="F231" s="30"/>
      <c r="G231" s="31" t="str">
        <f>Source!DI92</f>
        <v/>
      </c>
      <c r="H231" s="30"/>
      <c r="I231" s="31"/>
      <c r="J231" s="31"/>
      <c r="K231" s="30"/>
      <c r="L231" s="41">
        <f>Source!U92</f>
        <v>56.176140000000004</v>
      </c>
    </row>
    <row r="232" spans="1:26" ht="14.25" x14ac:dyDescent="0.2">
      <c r="A232" s="45" t="str">
        <f>Source!E93</f>
        <v>22,1</v>
      </c>
      <c r="B232" s="46" t="str">
        <f>Source!F93</f>
        <v>14.3.02.01</v>
      </c>
      <c r="C232" s="46" t="str">
        <f>Source!G93</f>
        <v>Краска водоэмульсионная</v>
      </c>
      <c r="D232" s="29" t="str">
        <f>Source!H93</f>
        <v>т</v>
      </c>
      <c r="E232" s="11">
        <f>Source!I93</f>
        <v>0.118073</v>
      </c>
      <c r="F232" s="30">
        <f>Source!AL93+Source!AM93+Source!AO93</f>
        <v>0</v>
      </c>
      <c r="G232" s="44" t="s">
        <v>6</v>
      </c>
      <c r="H232" s="30">
        <f>ROUND(Source!AC93*Source!I93, 2)+ROUND(Source!AD93*Source!I93, 2)+ROUND(Source!AF93*Source!I93, 2)</f>
        <v>0</v>
      </c>
      <c r="I232" s="31"/>
      <c r="J232" s="31">
        <f>IF(Source!BC93&lt;&gt; 0, Source!BC93, 1)</f>
        <v>6.71</v>
      </c>
      <c r="K232" s="30">
        <f>Source!O93</f>
        <v>0</v>
      </c>
      <c r="L232" s="32"/>
      <c r="S232">
        <f>ROUND((Source!FX93/100)*((ROUND(Source!AF93*Source!I93, 2)+ROUND(Source!AE93*Source!I93, 2))), 2)</f>
        <v>0</v>
      </c>
      <c r="T232">
        <f>Source!X93</f>
        <v>0</v>
      </c>
      <c r="U232">
        <f>ROUND((Source!FY93/100)*((ROUND(Source!AF93*Source!I93, 2)+ROUND(Source!AE93*Source!I93, 2))), 2)</f>
        <v>0</v>
      </c>
      <c r="V232">
        <f>Source!Y93</f>
        <v>0</v>
      </c>
      <c r="W232">
        <f>IF(Source!BI93&lt;=1,H232, 0)</f>
        <v>0</v>
      </c>
      <c r="X232">
        <f>IF(Source!BI93=2,H232, 0)</f>
        <v>0</v>
      </c>
      <c r="Y232">
        <f>IF(Source!BI93=3,H232, 0)</f>
        <v>0</v>
      </c>
      <c r="Z232">
        <f>IF(Source!BI93=4,H232, 0)</f>
        <v>0</v>
      </c>
    </row>
    <row r="233" spans="1:26" ht="28.5" x14ac:dyDescent="0.2">
      <c r="A233" s="47" t="str">
        <f>Source!E94</f>
        <v>22,2</v>
      </c>
      <c r="B233" s="48" t="str">
        <f>Source!F94</f>
        <v>14.3.02.01-0224</v>
      </c>
      <c r="C233" s="48" t="str">
        <f>Source!G94</f>
        <v>Краска водоэмульсионная для внутренних работ ВАК-25</v>
      </c>
      <c r="D233" s="35" t="str">
        <f>Source!H94</f>
        <v>т</v>
      </c>
      <c r="E233" s="36">
        <f>Source!I94</f>
        <v>0.118073</v>
      </c>
      <c r="F233" s="37">
        <f>Source!AL94+Source!AM94+Source!AO94</f>
        <v>22484.66</v>
      </c>
      <c r="G233" s="42" t="s">
        <v>6</v>
      </c>
      <c r="H233" s="37">
        <f>ROUND(Source!AC94*Source!I94, 2)+ROUND(Source!AD94*Source!I94, 2)+ROUND(Source!AF94*Source!I94, 2)</f>
        <v>2654.83</v>
      </c>
      <c r="I233" s="38"/>
      <c r="J233" s="38">
        <f>IF(Source!BC94&lt;&gt; 0, Source!BC94, 1)</f>
        <v>6.71</v>
      </c>
      <c r="K233" s="37">
        <f>Source!O94</f>
        <v>17813.919999999998</v>
      </c>
      <c r="L233" s="43"/>
      <c r="S233">
        <f>ROUND((Source!FX94/100)*((ROUND(Source!AF94*Source!I94, 2)+ROUND(Source!AE94*Source!I94, 2))), 2)</f>
        <v>0</v>
      </c>
      <c r="T233">
        <f>Source!X94</f>
        <v>0</v>
      </c>
      <c r="U233">
        <f>ROUND((Source!FY94/100)*((ROUND(Source!AF94*Source!I94, 2)+ROUND(Source!AE94*Source!I94, 2))), 2)</f>
        <v>0</v>
      </c>
      <c r="V233">
        <f>Source!Y94</f>
        <v>0</v>
      </c>
      <c r="W233">
        <f>IF(Source!BI94&lt;=1,H233, 0)</f>
        <v>2654.83</v>
      </c>
      <c r="X233">
        <f>IF(Source!BI94=2,H233, 0)</f>
        <v>0</v>
      </c>
      <c r="Y233">
        <f>IF(Source!BI94=3,H233, 0)</f>
        <v>0</v>
      </c>
      <c r="Z233">
        <f>IF(Source!BI94=4,H233, 0)</f>
        <v>0</v>
      </c>
    </row>
    <row r="234" spans="1:26" ht="15" x14ac:dyDescent="0.25">
      <c r="G234" s="69">
        <f>H225+H226+H228+H229+H230+SUM(H232:H233)</f>
        <v>4641.1299999999992</v>
      </c>
      <c r="H234" s="69"/>
      <c r="J234" s="69">
        <f>K225+K226+K228+K229+K230+SUM(K232:K233)</f>
        <v>31141.96</v>
      </c>
      <c r="K234" s="69"/>
      <c r="L234" s="40">
        <f>Source!U92</f>
        <v>56.176140000000004</v>
      </c>
      <c r="O234" s="24">
        <f>G234</f>
        <v>4641.1299999999992</v>
      </c>
      <c r="P234" s="24">
        <f>J234</f>
        <v>31141.96</v>
      </c>
      <c r="Q234" s="24">
        <f>L234</f>
        <v>56.176140000000004</v>
      </c>
      <c r="W234">
        <f>IF(Source!BI92&lt;=1,H225+H226+H228+H229+H230, 0)</f>
        <v>1986.2999999999997</v>
      </c>
      <c r="X234">
        <f>IF(Source!BI92=2,H225+H226+H228+H229+H230, 0)</f>
        <v>0</v>
      </c>
      <c r="Y234">
        <f>IF(Source!BI92=3,H225+H226+H228+H229+H230, 0)</f>
        <v>0</v>
      </c>
      <c r="Z234">
        <f>IF(Source!BI92=4,H225+H226+H228+H229+H230, 0)</f>
        <v>0</v>
      </c>
    </row>
    <row r="235" spans="1:26" ht="57" x14ac:dyDescent="0.2">
      <c r="A235" s="45" t="str">
        <f>Source!E95</f>
        <v>23</v>
      </c>
      <c r="B235" s="46" t="str">
        <f>Source!F95</f>
        <v>62-16-5</v>
      </c>
      <c r="C235" s="46" t="str">
        <f>Source!G95</f>
        <v>Окрашивание водоэмульсионными составами поверхностей стен, ранее окрашенных масляной краской с расчисткой старой краски более 35%</v>
      </c>
      <c r="D235" s="29" t="str">
        <f>Source!H95</f>
        <v>100 м2</v>
      </c>
      <c r="E235" s="11">
        <f>Source!I95</f>
        <v>4.68</v>
      </c>
      <c r="F235" s="30">
        <f>Source!AL95+Source!AM95+Source!AO95</f>
        <v>796.1</v>
      </c>
      <c r="G235" s="31"/>
      <c r="H235" s="30"/>
      <c r="I235" s="31" t="str">
        <f>Source!BO95</f>
        <v/>
      </c>
      <c r="J235" s="31"/>
      <c r="K235" s="30"/>
      <c r="L235" s="32"/>
      <c r="S235">
        <f>ROUND((Source!FX95/100)*((ROUND(Source!AF95*Source!I95, 2)+ROUND(Source!AE95*Source!I95, 2))), 2)</f>
        <v>1103.95</v>
      </c>
      <c r="T235">
        <f>Source!X95</f>
        <v>7407.54</v>
      </c>
      <c r="U235">
        <f>ROUND((Source!FY95/100)*((ROUND(Source!AF95*Source!I95, 2)+ROUND(Source!AE95*Source!I95, 2))), 2)</f>
        <v>689.97</v>
      </c>
      <c r="V235">
        <f>Source!Y95</f>
        <v>4629.72</v>
      </c>
    </row>
    <row r="236" spans="1:26" x14ac:dyDescent="0.2">
      <c r="C236" s="23" t="str">
        <f>"Объем: "&amp;Source!I95&amp;"=468/"&amp;"100"</f>
        <v>Объем: 4,68=468/100</v>
      </c>
    </row>
    <row r="237" spans="1:26" ht="14.25" x14ac:dyDescent="0.2">
      <c r="A237" s="45"/>
      <c r="B237" s="46"/>
      <c r="C237" s="46" t="s">
        <v>1083</v>
      </c>
      <c r="D237" s="29"/>
      <c r="E237" s="11"/>
      <c r="F237" s="30">
        <f>Source!AO95</f>
        <v>292.81</v>
      </c>
      <c r="G237" s="31" t="str">
        <f>Source!DG95</f>
        <v/>
      </c>
      <c r="H237" s="30">
        <f>ROUND(Source!AF95*Source!I95, 2)</f>
        <v>1370.35</v>
      </c>
      <c r="I237" s="31"/>
      <c r="J237" s="31">
        <f>IF(Source!BA95&lt;&gt; 0, Source!BA95, 1)</f>
        <v>6.71</v>
      </c>
      <c r="K237" s="30">
        <f>Source!S95</f>
        <v>9195.0499999999993</v>
      </c>
      <c r="L237" s="32"/>
      <c r="R237">
        <f>H237</f>
        <v>1370.35</v>
      </c>
    </row>
    <row r="238" spans="1:26" ht="14.25" x14ac:dyDescent="0.2">
      <c r="A238" s="45"/>
      <c r="B238" s="46"/>
      <c r="C238" s="46" t="s">
        <v>139</v>
      </c>
      <c r="D238" s="29"/>
      <c r="E238" s="11"/>
      <c r="F238" s="30">
        <f>Source!AM95</f>
        <v>7.07</v>
      </c>
      <c r="G238" s="31" t="str">
        <f>Source!DE95</f>
        <v/>
      </c>
      <c r="H238" s="30">
        <f>ROUND(Source!AD95*Source!I95, 2)</f>
        <v>33.090000000000003</v>
      </c>
      <c r="I238" s="31"/>
      <c r="J238" s="31">
        <f>IF(Source!BB95&lt;&gt; 0, Source!BB95, 1)</f>
        <v>6.71</v>
      </c>
      <c r="K238" s="30">
        <f>Source!Q95</f>
        <v>222.02</v>
      </c>
      <c r="L238" s="32"/>
    </row>
    <row r="239" spans="1:26" ht="14.25" x14ac:dyDescent="0.2">
      <c r="A239" s="45"/>
      <c r="B239" s="46"/>
      <c r="C239" s="46" t="s">
        <v>1084</v>
      </c>
      <c r="D239" s="29"/>
      <c r="E239" s="11"/>
      <c r="F239" s="30">
        <f>Source!AN95</f>
        <v>2.0499999999999998</v>
      </c>
      <c r="G239" s="31" t="str">
        <f>Source!DF95</f>
        <v/>
      </c>
      <c r="H239" s="33">
        <f>ROUND(Source!AE95*Source!I95, 2)</f>
        <v>9.59</v>
      </c>
      <c r="I239" s="31"/>
      <c r="J239" s="31">
        <f>IF(Source!BS95&lt;&gt; 0, Source!BS95, 1)</f>
        <v>6.71</v>
      </c>
      <c r="K239" s="33">
        <f>Source!R95</f>
        <v>64.38</v>
      </c>
      <c r="L239" s="32"/>
      <c r="R239">
        <f>H239</f>
        <v>9.59</v>
      </c>
    </row>
    <row r="240" spans="1:26" ht="14.25" x14ac:dyDescent="0.2">
      <c r="A240" s="45"/>
      <c r="B240" s="46"/>
      <c r="C240" s="46" t="s">
        <v>1090</v>
      </c>
      <c r="D240" s="29"/>
      <c r="E240" s="11"/>
      <c r="F240" s="30">
        <f>Source!AL95</f>
        <v>496.22</v>
      </c>
      <c r="G240" s="31" t="str">
        <f>Source!DD95</f>
        <v/>
      </c>
      <c r="H240" s="30">
        <f>ROUND(Source!AC95*Source!I95, 2)</f>
        <v>2322.31</v>
      </c>
      <c r="I240" s="31"/>
      <c r="J240" s="31">
        <f>IF(Source!BC95&lt;&gt; 0, Source!BC95, 1)</f>
        <v>6.71</v>
      </c>
      <c r="K240" s="30">
        <f>Source!P95</f>
        <v>15582.7</v>
      </c>
      <c r="L240" s="32"/>
    </row>
    <row r="241" spans="1:26" ht="14.25" x14ac:dyDescent="0.2">
      <c r="A241" s="45"/>
      <c r="B241" s="46"/>
      <c r="C241" s="46" t="s">
        <v>1085</v>
      </c>
      <c r="D241" s="29" t="s">
        <v>1086</v>
      </c>
      <c r="E241" s="11">
        <f>Source!BZ95</f>
        <v>80</v>
      </c>
      <c r="F241" s="49"/>
      <c r="G241" s="31"/>
      <c r="H241" s="30">
        <f>SUM(S235:S245)</f>
        <v>1103.95</v>
      </c>
      <c r="I241" s="34"/>
      <c r="J241" s="27">
        <f>Source!AT95</f>
        <v>80</v>
      </c>
      <c r="K241" s="30">
        <f>SUM(T235:T245)</f>
        <v>7407.54</v>
      </c>
      <c r="L241" s="32"/>
    </row>
    <row r="242" spans="1:26" ht="14.25" x14ac:dyDescent="0.2">
      <c r="A242" s="45"/>
      <c r="B242" s="46"/>
      <c r="C242" s="46" t="s">
        <v>1087</v>
      </c>
      <c r="D242" s="29" t="s">
        <v>1086</v>
      </c>
      <c r="E242" s="11">
        <f>Source!CA95</f>
        <v>50</v>
      </c>
      <c r="F242" s="49"/>
      <c r="G242" s="31"/>
      <c r="H242" s="30">
        <f>SUM(U235:U245)</f>
        <v>689.97</v>
      </c>
      <c r="I242" s="34"/>
      <c r="J242" s="27">
        <f>Source!AU95</f>
        <v>50</v>
      </c>
      <c r="K242" s="30">
        <f>SUM(V235:V245)</f>
        <v>4629.72</v>
      </c>
      <c r="L242" s="32"/>
    </row>
    <row r="243" spans="1:26" ht="14.25" x14ac:dyDescent="0.2">
      <c r="A243" s="45"/>
      <c r="B243" s="46"/>
      <c r="C243" s="46" t="s">
        <v>1088</v>
      </c>
      <c r="D243" s="29" t="s">
        <v>1089</v>
      </c>
      <c r="E243" s="11">
        <f>Source!AQ95</f>
        <v>33.89</v>
      </c>
      <c r="F243" s="30"/>
      <c r="G243" s="31" t="str">
        <f>Source!DI95</f>
        <v/>
      </c>
      <c r="H243" s="30"/>
      <c r="I243" s="31"/>
      <c r="J243" s="31"/>
      <c r="K243" s="30"/>
      <c r="L243" s="41">
        <f>Source!U95</f>
        <v>158.6052</v>
      </c>
    </row>
    <row r="244" spans="1:26" ht="28.5" x14ac:dyDescent="0.2">
      <c r="A244" s="45" t="str">
        <f>Source!E96</f>
        <v>23,1</v>
      </c>
      <c r="B244" s="46" t="str">
        <f>Source!F96</f>
        <v>14.3.02.01-0224</v>
      </c>
      <c r="C244" s="46" t="str">
        <f>Source!G96</f>
        <v>Краска водоэмульсионная для внутренних работ ВАК-25</v>
      </c>
      <c r="D244" s="29" t="str">
        <f>Source!H96</f>
        <v>т</v>
      </c>
      <c r="E244" s="11">
        <f>Source!I96</f>
        <v>0.33228000000000002</v>
      </c>
      <c r="F244" s="30">
        <f>Source!AL96+Source!AM96+Source!AO96</f>
        <v>22484.66</v>
      </c>
      <c r="G244" s="44" t="s">
        <v>6</v>
      </c>
      <c r="H244" s="30">
        <f>ROUND(Source!AC96*Source!I96, 2)+ROUND(Source!AD96*Source!I96, 2)+ROUND(Source!AF96*Source!I96, 2)</f>
        <v>7471.2</v>
      </c>
      <c r="I244" s="31"/>
      <c r="J244" s="31">
        <f>IF(Source!BC96&lt;&gt; 0, Source!BC96, 1)</f>
        <v>6.71</v>
      </c>
      <c r="K244" s="30">
        <f>Source!O96</f>
        <v>50131.77</v>
      </c>
      <c r="L244" s="32"/>
      <c r="S244">
        <f>ROUND((Source!FX96/100)*((ROUND(Source!AF96*Source!I96, 2)+ROUND(Source!AE96*Source!I96, 2))), 2)</f>
        <v>0</v>
      </c>
      <c r="T244">
        <f>Source!X96</f>
        <v>0</v>
      </c>
      <c r="U244">
        <f>ROUND((Source!FY96/100)*((ROUND(Source!AF96*Source!I96, 2)+ROUND(Source!AE96*Source!I96, 2))), 2)</f>
        <v>0</v>
      </c>
      <c r="V244">
        <f>Source!Y96</f>
        <v>0</v>
      </c>
      <c r="W244">
        <f>IF(Source!BI96&lt;=1,H244, 0)</f>
        <v>7471.2</v>
      </c>
      <c r="X244">
        <f>IF(Source!BI96=2,H244, 0)</f>
        <v>0</v>
      </c>
      <c r="Y244">
        <f>IF(Source!BI96=3,H244, 0)</f>
        <v>0</v>
      </c>
      <c r="Z244">
        <f>IF(Source!BI96=4,H244, 0)</f>
        <v>0</v>
      </c>
    </row>
    <row r="245" spans="1:26" ht="14.25" x14ac:dyDescent="0.2">
      <c r="A245" s="47" t="str">
        <f>Source!E97</f>
        <v>23,2</v>
      </c>
      <c r="B245" s="48" t="str">
        <f>Source!F97</f>
        <v>14.3.02.01</v>
      </c>
      <c r="C245" s="48" t="str">
        <f>Source!G97</f>
        <v>Краска водоэмульсионная</v>
      </c>
      <c r="D245" s="35" t="str">
        <f>Source!H97</f>
        <v>т</v>
      </c>
      <c r="E245" s="36">
        <f>Source!I97</f>
        <v>0.33228000000000002</v>
      </c>
      <c r="F245" s="37">
        <f>Source!AL97+Source!AM97+Source!AO97</f>
        <v>0</v>
      </c>
      <c r="G245" s="42" t="s">
        <v>6</v>
      </c>
      <c r="H245" s="37">
        <f>ROUND(Source!AC97*Source!I97, 2)+ROUND(Source!AD97*Source!I97, 2)+ROUND(Source!AF97*Source!I97, 2)</f>
        <v>0</v>
      </c>
      <c r="I245" s="38"/>
      <c r="J245" s="38">
        <f>IF(Source!BC97&lt;&gt; 0, Source!BC97, 1)</f>
        <v>6.71</v>
      </c>
      <c r="K245" s="37">
        <f>Source!O97</f>
        <v>0</v>
      </c>
      <c r="L245" s="43"/>
      <c r="S245">
        <f>ROUND((Source!FX97/100)*((ROUND(Source!AF97*Source!I97, 2)+ROUND(Source!AE97*Source!I97, 2))), 2)</f>
        <v>0</v>
      </c>
      <c r="T245">
        <f>Source!X97</f>
        <v>0</v>
      </c>
      <c r="U245">
        <f>ROUND((Source!FY97/100)*((ROUND(Source!AF97*Source!I97, 2)+ROUND(Source!AE97*Source!I97, 2))), 2)</f>
        <v>0</v>
      </c>
      <c r="V245">
        <f>Source!Y97</f>
        <v>0</v>
      </c>
      <c r="W245">
        <f>IF(Source!BI97&lt;=1,H245, 0)</f>
        <v>0</v>
      </c>
      <c r="X245">
        <f>IF(Source!BI97=2,H245, 0)</f>
        <v>0</v>
      </c>
      <c r="Y245">
        <f>IF(Source!BI97=3,H245, 0)</f>
        <v>0</v>
      </c>
      <c r="Z245">
        <f>IF(Source!BI97=4,H245, 0)</f>
        <v>0</v>
      </c>
    </row>
    <row r="246" spans="1:26" ht="15" x14ac:dyDescent="0.25">
      <c r="G246" s="69">
        <f>H237+H238+H240+H241+H242+SUM(H244:H245)</f>
        <v>12990.869999999999</v>
      </c>
      <c r="H246" s="69"/>
      <c r="J246" s="69">
        <f>K237+K238+K240+K241+K242+SUM(K244:K245)</f>
        <v>87168.799999999988</v>
      </c>
      <c r="K246" s="69"/>
      <c r="L246" s="40">
        <f>Source!U95</f>
        <v>158.6052</v>
      </c>
      <c r="O246" s="24">
        <f>G246</f>
        <v>12990.869999999999</v>
      </c>
      <c r="P246" s="24">
        <f>J246</f>
        <v>87168.799999999988</v>
      </c>
      <c r="Q246" s="24">
        <f>L246</f>
        <v>158.6052</v>
      </c>
      <c r="W246">
        <f>IF(Source!BI95&lt;=1,H237+H238+H240+H241+H242, 0)</f>
        <v>5519.67</v>
      </c>
      <c r="X246">
        <f>IF(Source!BI95=2,H237+H238+H240+H241+H242, 0)</f>
        <v>0</v>
      </c>
      <c r="Y246">
        <f>IF(Source!BI95=3,H237+H238+H240+H241+H242, 0)</f>
        <v>0</v>
      </c>
      <c r="Z246">
        <f>IF(Source!BI95=4,H237+H238+H240+H241+H242, 0)</f>
        <v>0</v>
      </c>
    </row>
    <row r="247" spans="1:26" ht="28.5" x14ac:dyDescent="0.2">
      <c r="A247" s="45" t="str">
        <f>Source!E98</f>
        <v>24</v>
      </c>
      <c r="B247" s="46" t="str">
        <f>Source!F98</f>
        <v>11-01-011-01</v>
      </c>
      <c r="C247" s="46" t="str">
        <f>Source!G98</f>
        <v>Устройство стяжек цементных толщиной 20 мм</v>
      </c>
      <c r="D247" s="29" t="str">
        <f>Source!H98</f>
        <v>100 м2</v>
      </c>
      <c r="E247" s="11">
        <f>Source!I98</f>
        <v>1.663</v>
      </c>
      <c r="F247" s="30">
        <f>Source!AL98+Source!AM98+Source!AO98</f>
        <v>366.49</v>
      </c>
      <c r="G247" s="31"/>
      <c r="H247" s="30"/>
      <c r="I247" s="31" t="str">
        <f>Source!BO98</f>
        <v/>
      </c>
      <c r="J247" s="31"/>
      <c r="K247" s="30"/>
      <c r="L247" s="32"/>
      <c r="S247">
        <f>ROUND((Source!FX98/100)*((ROUND(Source!AF98*Source!I98, 2)+ROUND(Source!AE98*Source!I98, 2))), 2)</f>
        <v>844.35</v>
      </c>
      <c r="T247">
        <f>Source!X98</f>
        <v>5680.92</v>
      </c>
      <c r="U247">
        <f>ROUND((Source!FY98/100)*((ROUND(Source!AF98*Source!I98, 2)+ROUND(Source!AE98*Source!I98, 2))), 2)</f>
        <v>486.25</v>
      </c>
      <c r="V247">
        <f>Source!Y98</f>
        <v>3275.49</v>
      </c>
    </row>
    <row r="248" spans="1:26" x14ac:dyDescent="0.2">
      <c r="C248" s="23" t="str">
        <f>"Объем: "&amp;Source!I98&amp;"=166,3/"&amp;"100"</f>
        <v>Объем: 1,663=166,3/100</v>
      </c>
    </row>
    <row r="249" spans="1:26" ht="14.25" x14ac:dyDescent="0.2">
      <c r="A249" s="45"/>
      <c r="B249" s="46"/>
      <c r="C249" s="46" t="s">
        <v>1083</v>
      </c>
      <c r="D249" s="29"/>
      <c r="E249" s="11"/>
      <c r="F249" s="30">
        <f>Source!AO98</f>
        <v>313.70999999999998</v>
      </c>
      <c r="G249" s="31" t="str">
        <f>Source!DG98</f>
        <v>)*1,15)*1,2</v>
      </c>
      <c r="H249" s="30">
        <f>ROUND(Source!AF98*Source!I98, 2)</f>
        <v>719.95</v>
      </c>
      <c r="I249" s="31"/>
      <c r="J249" s="31">
        <f>IF(Source!BA98&lt;&gt; 0, Source!BA98, 1)</f>
        <v>6.71</v>
      </c>
      <c r="K249" s="30">
        <f>Source!S98</f>
        <v>4830.84</v>
      </c>
      <c r="L249" s="32"/>
      <c r="R249">
        <f>H249</f>
        <v>719.95</v>
      </c>
    </row>
    <row r="250" spans="1:26" ht="14.25" x14ac:dyDescent="0.2">
      <c r="A250" s="45"/>
      <c r="B250" s="46"/>
      <c r="C250" s="46" t="s">
        <v>139</v>
      </c>
      <c r="D250" s="29"/>
      <c r="E250" s="11"/>
      <c r="F250" s="30">
        <f>Source!AM98</f>
        <v>44.24</v>
      </c>
      <c r="G250" s="31" t="str">
        <f>Source!DE98</f>
        <v>)*1,25)*1,2</v>
      </c>
      <c r="H250" s="30">
        <f>ROUND(Source!AD98*Source!I98, 2)</f>
        <v>110.37</v>
      </c>
      <c r="I250" s="31"/>
      <c r="J250" s="31">
        <f>IF(Source!BB98&lt;&gt; 0, Source!BB98, 1)</f>
        <v>6.71</v>
      </c>
      <c r="K250" s="30">
        <f>Source!Q98</f>
        <v>740.6</v>
      </c>
      <c r="L250" s="32"/>
    </row>
    <row r="251" spans="1:26" ht="14.25" x14ac:dyDescent="0.2">
      <c r="A251" s="45"/>
      <c r="B251" s="46"/>
      <c r="C251" s="46" t="s">
        <v>1084</v>
      </c>
      <c r="D251" s="29"/>
      <c r="E251" s="11"/>
      <c r="F251" s="30">
        <f>Source!AN98</f>
        <v>17.149999999999999</v>
      </c>
      <c r="G251" s="31" t="str">
        <f>Source!DF98</f>
        <v>)*1,25)*1,2</v>
      </c>
      <c r="H251" s="33">
        <f>ROUND(Source!AE98*Source!I98, 2)</f>
        <v>42.79</v>
      </c>
      <c r="I251" s="31"/>
      <c r="J251" s="31">
        <f>IF(Source!BS98&lt;&gt; 0, Source!BS98, 1)</f>
        <v>6.71</v>
      </c>
      <c r="K251" s="33">
        <f>Source!R98</f>
        <v>287.11</v>
      </c>
      <c r="L251" s="32"/>
      <c r="R251">
        <f>H251</f>
        <v>42.79</v>
      </c>
    </row>
    <row r="252" spans="1:26" ht="14.25" x14ac:dyDescent="0.2">
      <c r="A252" s="45"/>
      <c r="B252" s="46"/>
      <c r="C252" s="46" t="s">
        <v>1090</v>
      </c>
      <c r="D252" s="29"/>
      <c r="E252" s="11"/>
      <c r="F252" s="30">
        <f>Source!AL98</f>
        <v>8.5399999999999991</v>
      </c>
      <c r="G252" s="31" t="str">
        <f>Source!DD98</f>
        <v/>
      </c>
      <c r="H252" s="30">
        <f>ROUND(Source!AC98*Source!I98, 2)</f>
        <v>14.2</v>
      </c>
      <c r="I252" s="31"/>
      <c r="J252" s="31">
        <f>IF(Source!BC98&lt;&gt; 0, Source!BC98, 1)</f>
        <v>6.71</v>
      </c>
      <c r="K252" s="30">
        <f>Source!P98</f>
        <v>95.3</v>
      </c>
      <c r="L252" s="32"/>
    </row>
    <row r="253" spans="1:26" ht="14.25" x14ac:dyDescent="0.2">
      <c r="A253" s="45"/>
      <c r="B253" s="46"/>
      <c r="C253" s="46" t="s">
        <v>1085</v>
      </c>
      <c r="D253" s="29" t="s">
        <v>1086</v>
      </c>
      <c r="E253" s="11">
        <f>Source!BZ98</f>
        <v>123</v>
      </c>
      <c r="F253" s="72" t="str">
        <f>CONCATENATE(" )", Source!DL98, Source!FT98, "=", Source!FX98)</f>
        <v xml:space="preserve"> )*0,9=110,7</v>
      </c>
      <c r="G253" s="73"/>
      <c r="H253" s="30">
        <f>SUM(S247:S257)</f>
        <v>844.35</v>
      </c>
      <c r="I253" s="34"/>
      <c r="J253" s="27">
        <f>Source!AT98</f>
        <v>111</v>
      </c>
      <c r="K253" s="30">
        <f>SUM(T247:T257)</f>
        <v>5680.92</v>
      </c>
      <c r="L253" s="32"/>
    </row>
    <row r="254" spans="1:26" ht="14.25" x14ac:dyDescent="0.2">
      <c r="A254" s="45"/>
      <c r="B254" s="46"/>
      <c r="C254" s="46" t="s">
        <v>1087</v>
      </c>
      <c r="D254" s="29" t="s">
        <v>1086</v>
      </c>
      <c r="E254" s="11">
        <f>Source!CA98</f>
        <v>75</v>
      </c>
      <c r="F254" s="72" t="str">
        <f>CONCATENATE(" )", Source!DM98, Source!FU98, "=", Source!FY98)</f>
        <v xml:space="preserve"> )*0,85=63,75</v>
      </c>
      <c r="G254" s="73"/>
      <c r="H254" s="30">
        <f>SUM(U247:U257)</f>
        <v>486.25</v>
      </c>
      <c r="I254" s="34"/>
      <c r="J254" s="27">
        <f>Source!AU98</f>
        <v>64</v>
      </c>
      <c r="K254" s="30">
        <f>SUM(V247:V257)</f>
        <v>3275.49</v>
      </c>
      <c r="L254" s="32"/>
    </row>
    <row r="255" spans="1:26" ht="14.25" x14ac:dyDescent="0.2">
      <c r="A255" s="45"/>
      <c r="B255" s="46"/>
      <c r="C255" s="46" t="s">
        <v>1088</v>
      </c>
      <c r="D255" s="29" t="s">
        <v>1089</v>
      </c>
      <c r="E255" s="11">
        <f>Source!AQ98</f>
        <v>39.51</v>
      </c>
      <c r="F255" s="30"/>
      <c r="G255" s="31" t="str">
        <f>Source!DI98</f>
        <v>)*1,15)*1,2</v>
      </c>
      <c r="H255" s="30"/>
      <c r="I255" s="31"/>
      <c r="J255" s="31"/>
      <c r="K255" s="30"/>
      <c r="L255" s="41">
        <f>Source!U98</f>
        <v>90.673079399999992</v>
      </c>
    </row>
    <row r="256" spans="1:26" ht="28.5" x14ac:dyDescent="0.2">
      <c r="A256" s="45" t="str">
        <f>Source!E99</f>
        <v>24,1</v>
      </c>
      <c r="B256" s="46" t="str">
        <f>Source!F99</f>
        <v>04.3.01.09</v>
      </c>
      <c r="C256" s="46" t="str">
        <f>Source!G99</f>
        <v>Раствор готовый кладочный тяжелый цементный</v>
      </c>
      <c r="D256" s="29" t="str">
        <f>Source!H99</f>
        <v>м3</v>
      </c>
      <c r="E256" s="11">
        <f>Source!I99</f>
        <v>3.3925200000000002</v>
      </c>
      <c r="F256" s="30">
        <f>Source!AL99+Source!AM99+Source!AO99</f>
        <v>0</v>
      </c>
      <c r="G256" s="44" t="s">
        <v>6</v>
      </c>
      <c r="H256" s="30">
        <f>ROUND(Source!AC99*Source!I99, 2)+ROUND(Source!AD99*Source!I99, 2)+ROUND(Source!AF99*Source!I99, 2)</f>
        <v>0</v>
      </c>
      <c r="I256" s="31"/>
      <c r="J256" s="31">
        <f>IF(Source!BC99&lt;&gt; 0, Source!BC99, 1)</f>
        <v>6.71</v>
      </c>
      <c r="K256" s="30">
        <f>Source!O99</f>
        <v>0</v>
      </c>
      <c r="L256" s="32"/>
      <c r="S256">
        <f>ROUND((Source!FX99/100)*((ROUND(Source!AF99*Source!I99, 2)+ROUND(Source!AE99*Source!I99, 2))), 2)</f>
        <v>0</v>
      </c>
      <c r="T256">
        <f>Source!X99</f>
        <v>0</v>
      </c>
      <c r="U256">
        <f>ROUND((Source!FY99/100)*((ROUND(Source!AF99*Source!I99, 2)+ROUND(Source!AE99*Source!I99, 2))), 2)</f>
        <v>0</v>
      </c>
      <c r="V256">
        <f>Source!Y99</f>
        <v>0</v>
      </c>
      <c r="W256">
        <f>IF(Source!BI99&lt;=1,H256, 0)</f>
        <v>0</v>
      </c>
      <c r="X256">
        <f>IF(Source!BI99=2,H256, 0)</f>
        <v>0</v>
      </c>
      <c r="Y256">
        <f>IF(Source!BI99=3,H256, 0)</f>
        <v>0</v>
      </c>
      <c r="Z256">
        <f>IF(Source!BI99=4,H256, 0)</f>
        <v>0</v>
      </c>
    </row>
    <row r="257" spans="1:26" ht="28.5" x14ac:dyDescent="0.2">
      <c r="A257" s="47" t="str">
        <f>Source!E100</f>
        <v>24,2</v>
      </c>
      <c r="B257" s="48" t="str">
        <f>Source!F100</f>
        <v>04.3.01.09-0017</v>
      </c>
      <c r="C257" s="48" t="str">
        <f>Source!G100</f>
        <v>Раствор готовый кладочный цементный</v>
      </c>
      <c r="D257" s="35" t="str">
        <f>Source!H100</f>
        <v>м3</v>
      </c>
      <c r="E257" s="36">
        <f>Source!I100</f>
        <v>3.3925200000000002</v>
      </c>
      <c r="F257" s="37">
        <f>Source!AL100+Source!AM100+Source!AO100</f>
        <v>651.78</v>
      </c>
      <c r="G257" s="42" t="s">
        <v>6</v>
      </c>
      <c r="H257" s="37">
        <f>ROUND(Source!AC100*Source!I100, 2)+ROUND(Source!AD100*Source!I100, 2)+ROUND(Source!AF100*Source!I100, 2)</f>
        <v>2211.1799999999998</v>
      </c>
      <c r="I257" s="38"/>
      <c r="J257" s="38">
        <f>IF(Source!BC100&lt;&gt; 0, Source!BC100, 1)</f>
        <v>6.71</v>
      </c>
      <c r="K257" s="37">
        <f>Source!O100</f>
        <v>14837</v>
      </c>
      <c r="L257" s="43"/>
      <c r="S257">
        <f>ROUND((Source!FX100/100)*((ROUND(Source!AF100*Source!I100, 2)+ROUND(Source!AE100*Source!I100, 2))), 2)</f>
        <v>0</v>
      </c>
      <c r="T257">
        <f>Source!X100</f>
        <v>0</v>
      </c>
      <c r="U257">
        <f>ROUND((Source!FY100/100)*((ROUND(Source!AF100*Source!I100, 2)+ROUND(Source!AE100*Source!I100, 2))), 2)</f>
        <v>0</v>
      </c>
      <c r="V257">
        <f>Source!Y100</f>
        <v>0</v>
      </c>
      <c r="W257">
        <f>IF(Source!BI100&lt;=1,H257, 0)</f>
        <v>2211.1799999999998</v>
      </c>
      <c r="X257">
        <f>IF(Source!BI100=2,H257, 0)</f>
        <v>0</v>
      </c>
      <c r="Y257">
        <f>IF(Source!BI100=3,H257, 0)</f>
        <v>0</v>
      </c>
      <c r="Z257">
        <f>IF(Source!BI100=4,H257, 0)</f>
        <v>0</v>
      </c>
    </row>
    <row r="258" spans="1:26" ht="15" x14ac:dyDescent="0.25">
      <c r="G258" s="69">
        <f>H249+H250+H252+H253+H254+SUM(H256:H257)</f>
        <v>4386.2999999999993</v>
      </c>
      <c r="H258" s="69"/>
      <c r="J258" s="69">
        <f>K249+K250+K252+K253+K254+SUM(K256:K257)</f>
        <v>29460.15</v>
      </c>
      <c r="K258" s="69"/>
      <c r="L258" s="40">
        <f>Source!U98</f>
        <v>90.673079399999992</v>
      </c>
      <c r="O258" s="24">
        <f>G258</f>
        <v>4386.2999999999993</v>
      </c>
      <c r="P258" s="24">
        <f>J258</f>
        <v>29460.15</v>
      </c>
      <c r="Q258" s="24">
        <f>L258</f>
        <v>90.673079399999992</v>
      </c>
      <c r="W258">
        <f>IF(Source!BI98&lt;=1,H249+H250+H252+H253+H254, 0)</f>
        <v>2175.12</v>
      </c>
      <c r="X258">
        <f>IF(Source!BI98=2,H249+H250+H252+H253+H254, 0)</f>
        <v>0</v>
      </c>
      <c r="Y258">
        <f>IF(Source!BI98=3,H249+H250+H252+H253+H254, 0)</f>
        <v>0</v>
      </c>
      <c r="Z258">
        <f>IF(Source!BI98=4,H249+H250+H252+H253+H254, 0)</f>
        <v>0</v>
      </c>
    </row>
    <row r="259" spans="1:26" ht="42.75" x14ac:dyDescent="0.2">
      <c r="A259" s="45" t="str">
        <f>Source!E101</f>
        <v>25</v>
      </c>
      <c r="B259" s="46" t="str">
        <f>Source!F101</f>
        <v>11-01-011-09</v>
      </c>
      <c r="C259" s="46" t="str">
        <f>Source!G101</f>
        <v>Устройство стяжек из выравнивающей смеси типа "Ветонит" 3000, толщиной 3 мм</v>
      </c>
      <c r="D259" s="29" t="str">
        <f>Source!H101</f>
        <v>100 м2</v>
      </c>
      <c r="E259" s="11">
        <f>Source!I101</f>
        <v>1.663</v>
      </c>
      <c r="F259" s="30">
        <f>Source!AL101+Source!AM101+Source!AO101</f>
        <v>5981.97</v>
      </c>
      <c r="G259" s="31"/>
      <c r="H259" s="30"/>
      <c r="I259" s="31" t="str">
        <f>Source!BO101</f>
        <v/>
      </c>
      <c r="J259" s="31"/>
      <c r="K259" s="30"/>
      <c r="L259" s="32"/>
      <c r="S259">
        <f>ROUND((Source!FX101/100)*((ROUND(Source!AF101*Source!I101, 2)+ROUND(Source!AE101*Source!I101, 2))), 2)</f>
        <v>668.81</v>
      </c>
      <c r="T259">
        <f>Source!X101</f>
        <v>4499.91</v>
      </c>
      <c r="U259">
        <f>ROUND((Source!FY101/100)*((ROUND(Source!AF101*Source!I101, 2)+ROUND(Source!AE101*Source!I101, 2))), 2)</f>
        <v>385.15</v>
      </c>
      <c r="V259">
        <f>Source!Y101</f>
        <v>2594.54</v>
      </c>
    </row>
    <row r="260" spans="1:26" x14ac:dyDescent="0.2">
      <c r="C260" s="23" t="str">
        <f>"Объем: "&amp;Source!I101&amp;"=166,3/"&amp;"100"</f>
        <v>Объем: 1,663=166,3/100</v>
      </c>
    </row>
    <row r="261" spans="1:26" ht="14.25" x14ac:dyDescent="0.2">
      <c r="A261" s="45"/>
      <c r="B261" s="46"/>
      <c r="C261" s="46" t="s">
        <v>1083</v>
      </c>
      <c r="D261" s="29"/>
      <c r="E261" s="11"/>
      <c r="F261" s="30">
        <f>Source!AO101</f>
        <v>262.13</v>
      </c>
      <c r="G261" s="31" t="str">
        <f>Source!DG101</f>
        <v>)*1,15)*1,2</v>
      </c>
      <c r="H261" s="30">
        <f>ROUND(Source!AF101*Source!I101, 2)</f>
        <v>601.57000000000005</v>
      </c>
      <c r="I261" s="31"/>
      <c r="J261" s="31">
        <f>IF(Source!BA101&lt;&gt; 0, Source!BA101, 1)</f>
        <v>6.71</v>
      </c>
      <c r="K261" s="30">
        <f>Source!S101</f>
        <v>4036.56</v>
      </c>
      <c r="L261" s="32"/>
      <c r="R261">
        <f>H261</f>
        <v>601.57000000000005</v>
      </c>
    </row>
    <row r="262" spans="1:26" ht="14.25" x14ac:dyDescent="0.2">
      <c r="A262" s="45"/>
      <c r="B262" s="46"/>
      <c r="C262" s="46" t="s">
        <v>139</v>
      </c>
      <c r="D262" s="29"/>
      <c r="E262" s="11"/>
      <c r="F262" s="30">
        <f>Source!AM101</f>
        <v>3.25</v>
      </c>
      <c r="G262" s="31" t="str">
        <f>Source!DE101</f>
        <v>)*1,25)*1,2</v>
      </c>
      <c r="H262" s="30">
        <f>ROUND(Source!AD101*Source!I101, 2)</f>
        <v>8.1199999999999992</v>
      </c>
      <c r="I262" s="31"/>
      <c r="J262" s="31">
        <f>IF(Source!BB101&lt;&gt; 0, Source!BB101, 1)</f>
        <v>6.71</v>
      </c>
      <c r="K262" s="30">
        <f>Source!Q101</f>
        <v>54.45</v>
      </c>
      <c r="L262" s="32"/>
    </row>
    <row r="263" spans="1:26" ht="14.25" x14ac:dyDescent="0.2">
      <c r="A263" s="45"/>
      <c r="B263" s="46"/>
      <c r="C263" s="46" t="s">
        <v>1084</v>
      </c>
      <c r="D263" s="29"/>
      <c r="E263" s="11"/>
      <c r="F263" s="30">
        <f>Source!AN101</f>
        <v>1.04</v>
      </c>
      <c r="G263" s="31" t="str">
        <f>Source!DF101</f>
        <v>)*1,25)*1,2</v>
      </c>
      <c r="H263" s="33">
        <f>ROUND(Source!AE101*Source!I101, 2)</f>
        <v>2.59</v>
      </c>
      <c r="I263" s="31"/>
      <c r="J263" s="31">
        <f>IF(Source!BS101&lt;&gt; 0, Source!BS101, 1)</f>
        <v>6.71</v>
      </c>
      <c r="K263" s="33">
        <f>Source!R101</f>
        <v>17.41</v>
      </c>
      <c r="L263" s="32"/>
      <c r="R263">
        <f>H263</f>
        <v>2.59</v>
      </c>
    </row>
    <row r="264" spans="1:26" ht="14.25" x14ac:dyDescent="0.2">
      <c r="A264" s="45"/>
      <c r="B264" s="46"/>
      <c r="C264" s="46" t="s">
        <v>1090</v>
      </c>
      <c r="D264" s="29"/>
      <c r="E264" s="11"/>
      <c r="F264" s="30">
        <f>Source!AL101</f>
        <v>5716.59</v>
      </c>
      <c r="G264" s="31" t="str">
        <f>Source!DD101</f>
        <v/>
      </c>
      <c r="H264" s="30">
        <f>ROUND(Source!AC101*Source!I101, 2)</f>
        <v>9506.69</v>
      </c>
      <c r="I264" s="31"/>
      <c r="J264" s="31">
        <f>IF(Source!BC101&lt;&gt; 0, Source!BC101, 1)</f>
        <v>6.71</v>
      </c>
      <c r="K264" s="30">
        <f>Source!P101</f>
        <v>63789.88</v>
      </c>
      <c r="L264" s="32"/>
    </row>
    <row r="265" spans="1:26" ht="14.25" x14ac:dyDescent="0.2">
      <c r="A265" s="45"/>
      <c r="B265" s="46"/>
      <c r="C265" s="46" t="s">
        <v>1085</v>
      </c>
      <c r="D265" s="29" t="s">
        <v>1086</v>
      </c>
      <c r="E265" s="11">
        <f>Source!BZ101</f>
        <v>123</v>
      </c>
      <c r="F265" s="72" t="str">
        <f>CONCATENATE(" )", Source!DL101, Source!FT101, "=", Source!FX101)</f>
        <v xml:space="preserve"> )*0,9=110,7</v>
      </c>
      <c r="G265" s="73"/>
      <c r="H265" s="30">
        <f>SUM(S259:S267)</f>
        <v>668.81</v>
      </c>
      <c r="I265" s="34"/>
      <c r="J265" s="27">
        <f>Source!AT101</f>
        <v>111</v>
      </c>
      <c r="K265" s="30">
        <f>SUM(T259:T267)</f>
        <v>4499.91</v>
      </c>
      <c r="L265" s="32"/>
    </row>
    <row r="266" spans="1:26" ht="14.25" x14ac:dyDescent="0.2">
      <c r="A266" s="45"/>
      <c r="B266" s="46"/>
      <c r="C266" s="46" t="s">
        <v>1087</v>
      </c>
      <c r="D266" s="29" t="s">
        <v>1086</v>
      </c>
      <c r="E266" s="11">
        <f>Source!CA101</f>
        <v>75</v>
      </c>
      <c r="F266" s="72" t="str">
        <f>CONCATENATE(" )", Source!DM101, Source!FU101, "=", Source!FY101)</f>
        <v xml:space="preserve"> )*0,85=63,75</v>
      </c>
      <c r="G266" s="73"/>
      <c r="H266" s="30">
        <f>SUM(U259:U267)</f>
        <v>385.15</v>
      </c>
      <c r="I266" s="34"/>
      <c r="J266" s="27">
        <f>Source!AU101</f>
        <v>64</v>
      </c>
      <c r="K266" s="30">
        <f>SUM(V259:V267)</f>
        <v>2594.54</v>
      </c>
      <c r="L266" s="32"/>
    </row>
    <row r="267" spans="1:26" ht="14.25" x14ac:dyDescent="0.2">
      <c r="A267" s="47"/>
      <c r="B267" s="48"/>
      <c r="C267" s="48" t="s">
        <v>1088</v>
      </c>
      <c r="D267" s="35" t="s">
        <v>1089</v>
      </c>
      <c r="E267" s="36">
        <f>Source!AQ101</f>
        <v>30.73</v>
      </c>
      <c r="F267" s="37"/>
      <c r="G267" s="38" t="str">
        <f>Source!DI101</f>
        <v>)*1,15)*1,2</v>
      </c>
      <c r="H267" s="37"/>
      <c r="I267" s="38"/>
      <c r="J267" s="38"/>
      <c r="K267" s="37"/>
      <c r="L267" s="39">
        <f>Source!U101</f>
        <v>70.5235062</v>
      </c>
    </row>
    <row r="268" spans="1:26" ht="15" x14ac:dyDescent="0.25">
      <c r="G268" s="69">
        <f>H261+H262+H264+H265+H266</f>
        <v>11170.34</v>
      </c>
      <c r="H268" s="69"/>
      <c r="J268" s="69">
        <f>K261+K262+K264+K265+K266</f>
        <v>74975.34</v>
      </c>
      <c r="K268" s="69"/>
      <c r="L268" s="40">
        <f>Source!U101</f>
        <v>70.5235062</v>
      </c>
      <c r="O268" s="24">
        <f>G268</f>
        <v>11170.34</v>
      </c>
      <c r="P268" s="24">
        <f>J268</f>
        <v>74975.34</v>
      </c>
      <c r="Q268" s="24">
        <f>L268</f>
        <v>70.5235062</v>
      </c>
      <c r="W268">
        <f>IF(Source!BI101&lt;=1,H261+H262+H264+H265+H266, 0)</f>
        <v>11170.34</v>
      </c>
      <c r="X268">
        <f>IF(Source!BI101=2,H261+H262+H264+H265+H266, 0)</f>
        <v>0</v>
      </c>
      <c r="Y268">
        <f>IF(Source!BI101=3,H261+H262+H264+H265+H266, 0)</f>
        <v>0</v>
      </c>
      <c r="Z268">
        <f>IF(Source!BI101=4,H261+H262+H264+H265+H266, 0)</f>
        <v>0</v>
      </c>
    </row>
    <row r="269" spans="1:26" ht="42.75" x14ac:dyDescent="0.2">
      <c r="A269" s="45" t="str">
        <f>Source!E102</f>
        <v>26</v>
      </c>
      <c r="B269" s="46" t="str">
        <f>Source!F102</f>
        <v>11-01-036-04</v>
      </c>
      <c r="C269" s="46" t="str">
        <f>Source!G102</f>
        <v>Устройство покрытий из линолеума насухо со свариванием полотнищ в стыках</v>
      </c>
      <c r="D269" s="29" t="str">
        <f>Source!H102</f>
        <v>100 м2</v>
      </c>
      <c r="E269" s="11">
        <f>Source!I102</f>
        <v>1.18</v>
      </c>
      <c r="F269" s="30">
        <f>Source!AL102+Source!AM102+Source!AO102</f>
        <v>321.20999999999998</v>
      </c>
      <c r="G269" s="31"/>
      <c r="H269" s="30"/>
      <c r="I269" s="31" t="str">
        <f>Source!BO102</f>
        <v/>
      </c>
      <c r="J269" s="31"/>
      <c r="K269" s="30"/>
      <c r="L269" s="32"/>
      <c r="S269">
        <f>ROUND((Source!FX102/100)*((ROUND(Source!AF102*Source!I102, 2)+ROUND(Source!AE102*Source!I102, 2))), 2)</f>
        <v>490.43</v>
      </c>
      <c r="T269">
        <f>Source!X102</f>
        <v>3299.74</v>
      </c>
      <c r="U269">
        <f>ROUND((Source!FY102/100)*((ROUND(Source!AF102*Source!I102, 2)+ROUND(Source!AE102*Source!I102, 2))), 2)</f>
        <v>282.43</v>
      </c>
      <c r="V269">
        <f>Source!Y102</f>
        <v>1902.55</v>
      </c>
    </row>
    <row r="270" spans="1:26" x14ac:dyDescent="0.2">
      <c r="C270" s="23" t="str">
        <f>"Объем: "&amp;Source!I102&amp;"=118/"&amp;"100"</f>
        <v>Объем: 1,18=118/100</v>
      </c>
    </row>
    <row r="271" spans="1:26" ht="14.25" x14ac:dyDescent="0.2">
      <c r="A271" s="45"/>
      <c r="B271" s="46"/>
      <c r="C271" s="46" t="s">
        <v>1083</v>
      </c>
      <c r="D271" s="29"/>
      <c r="E271" s="11"/>
      <c r="F271" s="30">
        <f>Source!AO102</f>
        <v>261.02</v>
      </c>
      <c r="G271" s="31" t="str">
        <f>Source!DG102</f>
        <v>)*1,15)*1,2</v>
      </c>
      <c r="H271" s="30">
        <f>ROUND(Source!AF102*Source!I102, 2)</f>
        <v>425.05</v>
      </c>
      <c r="I271" s="31"/>
      <c r="J271" s="31">
        <f>IF(Source!BA102&lt;&gt; 0, Source!BA102, 1)</f>
        <v>6.71</v>
      </c>
      <c r="K271" s="30">
        <f>Source!S102</f>
        <v>2852.07</v>
      </c>
      <c r="L271" s="32"/>
      <c r="R271">
        <f>H271</f>
        <v>425.05</v>
      </c>
    </row>
    <row r="272" spans="1:26" ht="14.25" x14ac:dyDescent="0.2">
      <c r="A272" s="45"/>
      <c r="B272" s="46"/>
      <c r="C272" s="46" t="s">
        <v>139</v>
      </c>
      <c r="D272" s="29"/>
      <c r="E272" s="11"/>
      <c r="F272" s="30">
        <f>Source!AM102</f>
        <v>60.19</v>
      </c>
      <c r="G272" s="31" t="str">
        <f>Source!DE102</f>
        <v>)*1,25)*1,2</v>
      </c>
      <c r="H272" s="30">
        <f>ROUND(Source!AD102*Source!I102, 2)</f>
        <v>106.54</v>
      </c>
      <c r="I272" s="31"/>
      <c r="J272" s="31">
        <f>IF(Source!BB102&lt;&gt; 0, Source!BB102, 1)</f>
        <v>6.71</v>
      </c>
      <c r="K272" s="30">
        <f>Source!Q102</f>
        <v>714.9</v>
      </c>
      <c r="L272" s="32"/>
    </row>
    <row r="273" spans="1:26" ht="14.25" x14ac:dyDescent="0.2">
      <c r="A273" s="45"/>
      <c r="B273" s="46"/>
      <c r="C273" s="46" t="s">
        <v>1084</v>
      </c>
      <c r="D273" s="29"/>
      <c r="E273" s="11"/>
      <c r="F273" s="30">
        <f>Source!AN102</f>
        <v>10.16</v>
      </c>
      <c r="G273" s="31" t="str">
        <f>Source!DF102</f>
        <v>)*1,25)*1,2</v>
      </c>
      <c r="H273" s="33">
        <f>ROUND(Source!AE102*Source!I102, 2)</f>
        <v>17.98</v>
      </c>
      <c r="I273" s="31"/>
      <c r="J273" s="31">
        <f>IF(Source!BS102&lt;&gt; 0, Source!BS102, 1)</f>
        <v>6.71</v>
      </c>
      <c r="K273" s="33">
        <f>Source!R102</f>
        <v>120.67</v>
      </c>
      <c r="L273" s="32"/>
      <c r="R273">
        <f>H273</f>
        <v>17.98</v>
      </c>
    </row>
    <row r="274" spans="1:26" ht="14.25" x14ac:dyDescent="0.2">
      <c r="A274" s="45"/>
      <c r="B274" s="46"/>
      <c r="C274" s="46" t="s">
        <v>1085</v>
      </c>
      <c r="D274" s="29" t="s">
        <v>1086</v>
      </c>
      <c r="E274" s="11">
        <f>Source!BZ102</f>
        <v>123</v>
      </c>
      <c r="F274" s="72" t="str">
        <f>CONCATENATE(" )", Source!DL102, Source!FT102, "=", Source!FX102)</f>
        <v xml:space="preserve"> )*0,9=110,7</v>
      </c>
      <c r="G274" s="73"/>
      <c r="H274" s="30">
        <f>SUM(S269:S280)</f>
        <v>490.43</v>
      </c>
      <c r="I274" s="34"/>
      <c r="J274" s="27">
        <f>Source!AT102</f>
        <v>111</v>
      </c>
      <c r="K274" s="30">
        <f>SUM(T269:T280)</f>
        <v>3299.74</v>
      </c>
      <c r="L274" s="32"/>
    </row>
    <row r="275" spans="1:26" ht="14.25" x14ac:dyDescent="0.2">
      <c r="A275" s="45"/>
      <c r="B275" s="46"/>
      <c r="C275" s="46" t="s">
        <v>1087</v>
      </c>
      <c r="D275" s="29" t="s">
        <v>1086</v>
      </c>
      <c r="E275" s="11">
        <f>Source!CA102</f>
        <v>75</v>
      </c>
      <c r="F275" s="72" t="str">
        <f>CONCATENATE(" )", Source!DM102, Source!FU102, "=", Source!FY102)</f>
        <v xml:space="preserve"> )*0,85=63,75</v>
      </c>
      <c r="G275" s="73"/>
      <c r="H275" s="30">
        <f>SUM(U269:U280)</f>
        <v>282.43</v>
      </c>
      <c r="I275" s="34"/>
      <c r="J275" s="27">
        <f>Source!AU102</f>
        <v>64</v>
      </c>
      <c r="K275" s="30">
        <f>SUM(V269:V280)</f>
        <v>1902.55</v>
      </c>
      <c r="L275" s="32"/>
    </row>
    <row r="276" spans="1:26" ht="14.25" x14ac:dyDescent="0.2">
      <c r="A276" s="45"/>
      <c r="B276" s="46"/>
      <c r="C276" s="46" t="s">
        <v>1088</v>
      </c>
      <c r="D276" s="29" t="s">
        <v>1089</v>
      </c>
      <c r="E276" s="11">
        <f>Source!AQ102</f>
        <v>31.41</v>
      </c>
      <c r="F276" s="30"/>
      <c r="G276" s="31" t="str">
        <f>Source!DI102</f>
        <v>)*1,15)*1,2</v>
      </c>
      <c r="H276" s="30"/>
      <c r="I276" s="31"/>
      <c r="J276" s="31"/>
      <c r="K276" s="30"/>
      <c r="L276" s="41">
        <f>Source!U102</f>
        <v>51.148043999999992</v>
      </c>
    </row>
    <row r="277" spans="1:26" ht="28.5" x14ac:dyDescent="0.2">
      <c r="A277" s="45" t="str">
        <f>Source!E103</f>
        <v>26,1</v>
      </c>
      <c r="B277" s="46" t="str">
        <f>Source!F103</f>
        <v>01.6.03.04</v>
      </c>
      <c r="C277" s="46" t="str">
        <f>Source!G103</f>
        <v>Линолеум на теплозвукоизолирующей подоснове</v>
      </c>
      <c r="D277" s="29" t="str">
        <f>Source!H103</f>
        <v>м2</v>
      </c>
      <c r="E277" s="11">
        <f>Source!I103</f>
        <v>120.36</v>
      </c>
      <c r="F277" s="30">
        <f>Source!AL103+Source!AM103+Source!AO103</f>
        <v>0</v>
      </c>
      <c r="G277" s="44" t="s">
        <v>6</v>
      </c>
      <c r="H277" s="30">
        <f>ROUND(Source!AC103*Source!I103, 2)+ROUND(Source!AD103*Source!I103, 2)+ROUND(Source!AF103*Source!I103, 2)</f>
        <v>0</v>
      </c>
      <c r="I277" s="31"/>
      <c r="J277" s="31">
        <f>IF(Source!BC103&lt;&gt; 0, Source!BC103, 1)</f>
        <v>6.71</v>
      </c>
      <c r="K277" s="30">
        <f>Source!O103</f>
        <v>0</v>
      </c>
      <c r="L277" s="32"/>
      <c r="S277">
        <f>ROUND((Source!FX103/100)*((ROUND(Source!AF103*Source!I103, 2)+ROUND(Source!AE103*Source!I103, 2))), 2)</f>
        <v>0</v>
      </c>
      <c r="T277">
        <f>Source!X103</f>
        <v>0</v>
      </c>
      <c r="U277">
        <f>ROUND((Source!FY103/100)*((ROUND(Source!AF103*Source!I103, 2)+ROUND(Source!AE103*Source!I103, 2))), 2)</f>
        <v>0</v>
      </c>
      <c r="V277">
        <f>Source!Y103</f>
        <v>0</v>
      </c>
      <c r="W277">
        <f>IF(Source!BI103&lt;=1,H277, 0)</f>
        <v>0</v>
      </c>
      <c r="X277">
        <f>IF(Source!BI103=2,H277, 0)</f>
        <v>0</v>
      </c>
      <c r="Y277">
        <f>IF(Source!BI103=3,H277, 0)</f>
        <v>0</v>
      </c>
      <c r="Z277">
        <f>IF(Source!BI103=4,H277, 0)</f>
        <v>0</v>
      </c>
    </row>
    <row r="278" spans="1:26" ht="71.25" x14ac:dyDescent="0.2">
      <c r="A278" s="45" t="str">
        <f>Source!E104</f>
        <v>26,2</v>
      </c>
      <c r="B278" s="46" t="str">
        <f>Source!F104</f>
        <v>01.6.03.04-0115</v>
      </c>
      <c r="C278" s="46" t="str">
        <f>Source!G104</f>
        <v>Линолеум коммерческий гомогенный "ТАРКЕТТ iQ GRANIT ACOUSTIC", акустический (толщина 2 мм, класс 34/43, пож. безопасность Г4, В3, РП2, Д2, Т2) прим.</v>
      </c>
      <c r="D278" s="29" t="str">
        <f>Source!H104</f>
        <v>м2</v>
      </c>
      <c r="E278" s="11">
        <f>Source!I104</f>
        <v>120.36</v>
      </c>
      <c r="F278" s="30">
        <f>Source!AL104+Source!AM104+Source!AO104</f>
        <v>299.95</v>
      </c>
      <c r="G278" s="44" t="s">
        <v>6</v>
      </c>
      <c r="H278" s="30">
        <f>ROUND(Source!AC104*Source!I104, 2)+ROUND(Source!AD104*Source!I104, 2)+ROUND(Source!AF104*Source!I104, 2)</f>
        <v>36101.980000000003</v>
      </c>
      <c r="I278" s="31"/>
      <c r="J278" s="31">
        <f>IF(Source!BC104&lt;&gt; 0, Source!BC104, 1)</f>
        <v>6.71</v>
      </c>
      <c r="K278" s="30">
        <f>Source!O104</f>
        <v>242244.3</v>
      </c>
      <c r="L278" s="32"/>
      <c r="S278">
        <f>ROUND((Source!FX104/100)*((ROUND(Source!AF104*Source!I104, 2)+ROUND(Source!AE104*Source!I104, 2))), 2)</f>
        <v>0</v>
      </c>
      <c r="T278">
        <f>Source!X104</f>
        <v>0</v>
      </c>
      <c r="U278">
        <f>ROUND((Source!FY104/100)*((ROUND(Source!AF104*Source!I104, 2)+ROUND(Source!AE104*Source!I104, 2))), 2)</f>
        <v>0</v>
      </c>
      <c r="V278">
        <f>Source!Y104</f>
        <v>0</v>
      </c>
      <c r="W278">
        <f>IF(Source!BI104&lt;=1,H278, 0)</f>
        <v>36101.980000000003</v>
      </c>
      <c r="X278">
        <f>IF(Source!BI104=2,H278, 0)</f>
        <v>0</v>
      </c>
      <c r="Y278">
        <f>IF(Source!BI104=3,H278, 0)</f>
        <v>0</v>
      </c>
      <c r="Z278">
        <f>IF(Source!BI104=4,H278, 0)</f>
        <v>0</v>
      </c>
    </row>
    <row r="279" spans="1:26" ht="28.5" x14ac:dyDescent="0.2">
      <c r="A279" s="45" t="str">
        <f>Source!E105</f>
        <v>26,3</v>
      </c>
      <c r="B279" s="46" t="str">
        <f>Source!F105</f>
        <v>01.7.06.14-0034</v>
      </c>
      <c r="C279" s="46" t="str">
        <f>Source!G105</f>
        <v>Лента полимерная (фторопластовая) для сварки линолеума</v>
      </c>
      <c r="D279" s="29" t="str">
        <f>Source!H105</f>
        <v>100 м</v>
      </c>
      <c r="E279" s="11">
        <f>Source!I105</f>
        <v>0.8024</v>
      </c>
      <c r="F279" s="30">
        <f>Source!AL105+Source!AM105+Source!AO105</f>
        <v>99.4</v>
      </c>
      <c r="G279" s="44" t="s">
        <v>6</v>
      </c>
      <c r="H279" s="30">
        <f>ROUND(Source!AC105*Source!I105, 2)+ROUND(Source!AD105*Source!I105, 2)+ROUND(Source!AF105*Source!I105, 2)</f>
        <v>79.760000000000005</v>
      </c>
      <c r="I279" s="31"/>
      <c r="J279" s="31">
        <f>IF(Source!BC105&lt;&gt; 0, Source!BC105, 1)</f>
        <v>6.71</v>
      </c>
      <c r="K279" s="30">
        <f>Source!O105</f>
        <v>535.17999999999995</v>
      </c>
      <c r="L279" s="32"/>
      <c r="S279">
        <f>ROUND((Source!FX105/100)*((ROUND(Source!AF105*Source!I105, 2)+ROUND(Source!AE105*Source!I105, 2))), 2)</f>
        <v>0</v>
      </c>
      <c r="T279">
        <f>Source!X105</f>
        <v>0</v>
      </c>
      <c r="U279">
        <f>ROUND((Source!FY105/100)*((ROUND(Source!AF105*Source!I105, 2)+ROUND(Source!AE105*Source!I105, 2))), 2)</f>
        <v>0</v>
      </c>
      <c r="V279">
        <f>Source!Y105</f>
        <v>0</v>
      </c>
      <c r="W279">
        <f>IF(Source!BI105&lt;=1,H279, 0)</f>
        <v>79.760000000000005</v>
      </c>
      <c r="X279">
        <f>IF(Source!BI105=2,H279, 0)</f>
        <v>0</v>
      </c>
      <c r="Y279">
        <f>IF(Source!BI105=3,H279, 0)</f>
        <v>0</v>
      </c>
      <c r="Z279">
        <f>IF(Source!BI105=4,H279, 0)</f>
        <v>0</v>
      </c>
    </row>
    <row r="280" spans="1:26" ht="14.25" x14ac:dyDescent="0.2">
      <c r="A280" s="47" t="str">
        <f>Source!E106</f>
        <v>26,4</v>
      </c>
      <c r="B280" s="48" t="str">
        <f>Source!F106</f>
        <v>01.7.06.03</v>
      </c>
      <c r="C280" s="48" t="str">
        <f>Source!G106</f>
        <v>Лента полимерная</v>
      </c>
      <c r="D280" s="35" t="str">
        <f>Source!H106</f>
        <v>100 м</v>
      </c>
      <c r="E280" s="36">
        <f>Source!I106</f>
        <v>0.8024</v>
      </c>
      <c r="F280" s="37">
        <f>Source!AL106+Source!AM106+Source!AO106</f>
        <v>0</v>
      </c>
      <c r="G280" s="42" t="s">
        <v>6</v>
      </c>
      <c r="H280" s="37">
        <f>ROUND(Source!AC106*Source!I106, 2)+ROUND(Source!AD106*Source!I106, 2)+ROUND(Source!AF106*Source!I106, 2)</f>
        <v>0</v>
      </c>
      <c r="I280" s="38"/>
      <c r="J280" s="38">
        <f>IF(Source!BC106&lt;&gt; 0, Source!BC106, 1)</f>
        <v>6.71</v>
      </c>
      <c r="K280" s="37">
        <f>Source!O106</f>
        <v>0</v>
      </c>
      <c r="L280" s="43"/>
      <c r="S280">
        <f>ROUND((Source!FX106/100)*((ROUND(Source!AF106*Source!I106, 2)+ROUND(Source!AE106*Source!I106, 2))), 2)</f>
        <v>0</v>
      </c>
      <c r="T280">
        <f>Source!X106</f>
        <v>0</v>
      </c>
      <c r="U280">
        <f>ROUND((Source!FY106/100)*((ROUND(Source!AF106*Source!I106, 2)+ROUND(Source!AE106*Source!I106, 2))), 2)</f>
        <v>0</v>
      </c>
      <c r="V280">
        <f>Source!Y106</f>
        <v>0</v>
      </c>
      <c r="W280">
        <f>IF(Source!BI106&lt;=1,H280, 0)</f>
        <v>0</v>
      </c>
      <c r="X280">
        <f>IF(Source!BI106=2,H280, 0)</f>
        <v>0</v>
      </c>
      <c r="Y280">
        <f>IF(Source!BI106=3,H280, 0)</f>
        <v>0</v>
      </c>
      <c r="Z280">
        <f>IF(Source!BI106=4,H280, 0)</f>
        <v>0</v>
      </c>
    </row>
    <row r="281" spans="1:26" ht="15" x14ac:dyDescent="0.25">
      <c r="G281" s="69">
        <f>H271+H272+H274+H275+SUM(H277:H280)</f>
        <v>37486.19</v>
      </c>
      <c r="H281" s="69"/>
      <c r="J281" s="69">
        <f>K271+K272+K274+K275+SUM(K277:K280)</f>
        <v>251548.74</v>
      </c>
      <c r="K281" s="69"/>
      <c r="L281" s="40">
        <f>Source!U102</f>
        <v>51.148043999999992</v>
      </c>
      <c r="O281" s="24">
        <f>G281</f>
        <v>37486.19</v>
      </c>
      <c r="P281" s="24">
        <f>J281</f>
        <v>251548.74</v>
      </c>
      <c r="Q281" s="24">
        <f>L281</f>
        <v>51.148043999999992</v>
      </c>
      <c r="W281">
        <f>IF(Source!BI102&lt;=1,H271+H272+H274+H275, 0)</f>
        <v>1304.45</v>
      </c>
      <c r="X281">
        <f>IF(Source!BI102=2,H271+H272+H274+H275, 0)</f>
        <v>0</v>
      </c>
      <c r="Y281">
        <f>IF(Source!BI102=3,H271+H272+H274+H275, 0)</f>
        <v>0</v>
      </c>
      <c r="Z281">
        <f>IF(Source!BI102=4,H271+H272+H274+H275, 0)</f>
        <v>0</v>
      </c>
    </row>
    <row r="282" spans="1:26" ht="71.25" x14ac:dyDescent="0.2">
      <c r="A282" s="45" t="str">
        <f>Source!E107</f>
        <v>27</v>
      </c>
      <c r="B282" s="46" t="str">
        <f>Source!F107</f>
        <v>11-01-027-06</v>
      </c>
      <c r="C282" s="46" t="str">
        <f>Source!G107</f>
        <v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v>
      </c>
      <c r="D282" s="29" t="str">
        <f>Source!H107</f>
        <v>100 м2</v>
      </c>
      <c r="E282" s="11">
        <f>Source!I107</f>
        <v>0.48299999999999998</v>
      </c>
      <c r="F282" s="30">
        <f>Source!AL107+Source!AM107+Source!AO107</f>
        <v>9047.81</v>
      </c>
      <c r="G282" s="31"/>
      <c r="H282" s="30"/>
      <c r="I282" s="31" t="str">
        <f>Source!BO107</f>
        <v/>
      </c>
      <c r="J282" s="31"/>
      <c r="K282" s="30"/>
      <c r="L282" s="32"/>
      <c r="S282">
        <f>ROUND((Source!FX107/100)*((ROUND(Source!AF107*Source!I107, 2)+ROUND(Source!AE107*Source!I107, 2))), 2)</f>
        <v>815.45</v>
      </c>
      <c r="T282">
        <f>Source!X107</f>
        <v>5486.49</v>
      </c>
      <c r="U282">
        <f>ROUND((Source!FY107/100)*((ROUND(Source!AF107*Source!I107, 2)+ROUND(Source!AE107*Source!I107, 2))), 2)</f>
        <v>469.6</v>
      </c>
      <c r="V282">
        <f>Source!Y107</f>
        <v>3163.38</v>
      </c>
    </row>
    <row r="283" spans="1:26" x14ac:dyDescent="0.2">
      <c r="C283" s="23" t="str">
        <f>"Объем: "&amp;Source!I107&amp;"=48,3/"&amp;"100"</f>
        <v>Объем: 0,483=48,3/100</v>
      </c>
    </row>
    <row r="284" spans="1:26" ht="14.25" x14ac:dyDescent="0.2">
      <c r="A284" s="45"/>
      <c r="B284" s="46"/>
      <c r="C284" s="46" t="s">
        <v>1083</v>
      </c>
      <c r="D284" s="29"/>
      <c r="E284" s="11"/>
      <c r="F284" s="30">
        <f>Source!AO107</f>
        <v>1046.8800000000001</v>
      </c>
      <c r="G284" s="31" t="str">
        <f>Source!DG107</f>
        <v>)*1,15)*1,2</v>
      </c>
      <c r="H284" s="30">
        <f>ROUND(Source!AF107*Source!I107, 2)</f>
        <v>697.79</v>
      </c>
      <c r="I284" s="31"/>
      <c r="J284" s="31">
        <f>IF(Source!BA107&lt;&gt; 0, Source!BA107, 1)</f>
        <v>6.71</v>
      </c>
      <c r="K284" s="30">
        <f>Source!S107</f>
        <v>4682.1400000000003</v>
      </c>
      <c r="L284" s="32"/>
      <c r="R284">
        <f>H284</f>
        <v>697.79</v>
      </c>
    </row>
    <row r="285" spans="1:26" ht="14.25" x14ac:dyDescent="0.2">
      <c r="A285" s="45"/>
      <c r="B285" s="46"/>
      <c r="C285" s="46" t="s">
        <v>139</v>
      </c>
      <c r="D285" s="29"/>
      <c r="E285" s="11"/>
      <c r="F285" s="30">
        <f>Source!AM107</f>
        <v>142.03</v>
      </c>
      <c r="G285" s="31" t="str">
        <f>Source!DE107</f>
        <v>)*1,25)*1,2</v>
      </c>
      <c r="H285" s="30">
        <f>ROUND(Source!AD107*Source!I107, 2)</f>
        <v>102.9</v>
      </c>
      <c r="I285" s="31"/>
      <c r="J285" s="31">
        <f>IF(Source!BB107&lt;&gt; 0, Source!BB107, 1)</f>
        <v>6.71</v>
      </c>
      <c r="K285" s="30">
        <f>Source!Q107</f>
        <v>690.48</v>
      </c>
      <c r="L285" s="32"/>
    </row>
    <row r="286" spans="1:26" ht="14.25" x14ac:dyDescent="0.2">
      <c r="A286" s="45"/>
      <c r="B286" s="46"/>
      <c r="C286" s="46" t="s">
        <v>1084</v>
      </c>
      <c r="D286" s="29"/>
      <c r="E286" s="11"/>
      <c r="F286" s="30">
        <f>Source!AN107</f>
        <v>53.61</v>
      </c>
      <c r="G286" s="31" t="str">
        <f>Source!DF107</f>
        <v>)*1,25)*1,2</v>
      </c>
      <c r="H286" s="33">
        <f>ROUND(Source!AE107*Source!I107, 2)</f>
        <v>38.840000000000003</v>
      </c>
      <c r="I286" s="31"/>
      <c r="J286" s="31">
        <f>IF(Source!BS107&lt;&gt; 0, Source!BS107, 1)</f>
        <v>6.71</v>
      </c>
      <c r="K286" s="33">
        <f>Source!R107</f>
        <v>260.64</v>
      </c>
      <c r="L286" s="32"/>
      <c r="R286">
        <f>H286</f>
        <v>38.840000000000003</v>
      </c>
    </row>
    <row r="287" spans="1:26" ht="14.25" x14ac:dyDescent="0.2">
      <c r="A287" s="45"/>
      <c r="B287" s="46"/>
      <c r="C287" s="46" t="s">
        <v>1090</v>
      </c>
      <c r="D287" s="29"/>
      <c r="E287" s="11"/>
      <c r="F287" s="30">
        <f>Source!AL107</f>
        <v>7858.9</v>
      </c>
      <c r="G287" s="31" t="str">
        <f>Source!DD107</f>
        <v/>
      </c>
      <c r="H287" s="30">
        <f>ROUND(Source!AC107*Source!I107, 2)</f>
        <v>3795.85</v>
      </c>
      <c r="I287" s="31"/>
      <c r="J287" s="31">
        <f>IF(Source!BC107&lt;&gt; 0, Source!BC107, 1)</f>
        <v>6.71</v>
      </c>
      <c r="K287" s="30">
        <f>Source!P107</f>
        <v>25470.14</v>
      </c>
      <c r="L287" s="32"/>
    </row>
    <row r="288" spans="1:26" ht="14.25" x14ac:dyDescent="0.2">
      <c r="A288" s="45"/>
      <c r="B288" s="46"/>
      <c r="C288" s="46" t="s">
        <v>1085</v>
      </c>
      <c r="D288" s="29" t="s">
        <v>1086</v>
      </c>
      <c r="E288" s="11">
        <f>Source!BZ107</f>
        <v>123</v>
      </c>
      <c r="F288" s="72" t="str">
        <f>CONCATENATE(" )", Source!DL107, Source!FT107, "=", Source!FX107)</f>
        <v xml:space="preserve"> )*0,9=110,7</v>
      </c>
      <c r="G288" s="73"/>
      <c r="H288" s="30">
        <f>SUM(S282:S294)</f>
        <v>815.45</v>
      </c>
      <c r="I288" s="34"/>
      <c r="J288" s="27">
        <f>Source!AT107</f>
        <v>111</v>
      </c>
      <c r="K288" s="30">
        <f>SUM(T282:T294)</f>
        <v>5486.49</v>
      </c>
      <c r="L288" s="32"/>
    </row>
    <row r="289" spans="1:26" ht="14.25" x14ac:dyDescent="0.2">
      <c r="A289" s="45"/>
      <c r="B289" s="46"/>
      <c r="C289" s="46" t="s">
        <v>1087</v>
      </c>
      <c r="D289" s="29" t="s">
        <v>1086</v>
      </c>
      <c r="E289" s="11">
        <f>Source!CA107</f>
        <v>75</v>
      </c>
      <c r="F289" s="72" t="str">
        <f>CONCATENATE(" )", Source!DM107, Source!FU107, "=", Source!FY107)</f>
        <v xml:space="preserve"> )*0,85=63,75</v>
      </c>
      <c r="G289" s="73"/>
      <c r="H289" s="30">
        <f>SUM(U282:U294)</f>
        <v>469.6</v>
      </c>
      <c r="I289" s="34"/>
      <c r="J289" s="27">
        <f>Source!AU107</f>
        <v>64</v>
      </c>
      <c r="K289" s="30">
        <f>SUM(V282:V294)</f>
        <v>3163.38</v>
      </c>
      <c r="L289" s="32"/>
    </row>
    <row r="290" spans="1:26" ht="14.25" x14ac:dyDescent="0.2">
      <c r="A290" s="45"/>
      <c r="B290" s="46"/>
      <c r="C290" s="46" t="s">
        <v>1088</v>
      </c>
      <c r="D290" s="29" t="s">
        <v>1089</v>
      </c>
      <c r="E290" s="11">
        <f>Source!AQ107</f>
        <v>119.78</v>
      </c>
      <c r="F290" s="30"/>
      <c r="G290" s="31" t="str">
        <f>Source!DI107</f>
        <v>)*1,15)*1,2</v>
      </c>
      <c r="H290" s="30"/>
      <c r="I290" s="31"/>
      <c r="J290" s="31"/>
      <c r="K290" s="30"/>
      <c r="L290" s="41">
        <f>Source!U107</f>
        <v>79.838161199999988</v>
      </c>
    </row>
    <row r="291" spans="1:26" ht="57" x14ac:dyDescent="0.2">
      <c r="A291" s="45" t="str">
        <f>Source!E108</f>
        <v>27,1</v>
      </c>
      <c r="B291" s="46" t="str">
        <f>Source!F108</f>
        <v>06.2.02.01-0071</v>
      </c>
      <c r="C291" s="46" t="str">
        <f>Source!G108</f>
        <v>Плитки керамические для полов гладкие неглазурованные одноцветные с красителем квадратные и прямоугольные</v>
      </c>
      <c r="D291" s="29" t="str">
        <f>Source!H108</f>
        <v>м2</v>
      </c>
      <c r="E291" s="11">
        <f>Source!I108</f>
        <v>-49.265999999999998</v>
      </c>
      <c r="F291" s="30">
        <f>Source!AL108+Source!AM108+Source!AO108</f>
        <v>67.8</v>
      </c>
      <c r="G291" s="44" t="s">
        <v>6</v>
      </c>
      <c r="H291" s="30">
        <f>ROUND(Source!AC108*Source!I108, 2)+ROUND(Source!AD108*Source!I108, 2)+ROUND(Source!AF108*Source!I108, 2)</f>
        <v>-3340.23</v>
      </c>
      <c r="I291" s="31"/>
      <c r="J291" s="31">
        <f>IF(Source!BC108&lt;&gt; 0, Source!BC108, 1)</f>
        <v>6.71</v>
      </c>
      <c r="K291" s="30">
        <f>Source!O108</f>
        <v>-22412.98</v>
      </c>
      <c r="L291" s="32"/>
      <c r="S291">
        <f>ROUND((Source!FX108/100)*((ROUND(Source!AF108*Source!I108, 2)+ROUND(Source!AE108*Source!I108, 2))), 2)</f>
        <v>0</v>
      </c>
      <c r="T291">
        <f>Source!X108</f>
        <v>0</v>
      </c>
      <c r="U291">
        <f>ROUND((Source!FY108/100)*((ROUND(Source!AF108*Source!I108, 2)+ROUND(Source!AE108*Source!I108, 2))), 2)</f>
        <v>0</v>
      </c>
      <c r="V291">
        <f>Source!Y108</f>
        <v>0</v>
      </c>
      <c r="W291">
        <f>IF(Source!BI108&lt;=1,H291, 0)</f>
        <v>-3340.23</v>
      </c>
      <c r="X291">
        <f>IF(Source!BI108=2,H291, 0)</f>
        <v>0</v>
      </c>
      <c r="Y291">
        <f>IF(Source!BI108=3,H291, 0)</f>
        <v>0</v>
      </c>
      <c r="Z291">
        <f>IF(Source!BI108=4,H291, 0)</f>
        <v>0</v>
      </c>
    </row>
    <row r="292" spans="1:26" ht="85.5" x14ac:dyDescent="0.2">
      <c r="A292" s="45" t="str">
        <f>Source!E109</f>
        <v>27,2</v>
      </c>
      <c r="B292" s="46" t="str">
        <f>Source!F109</f>
        <v>06.2.02.01-0082</v>
      </c>
      <c r="C292" s="46" t="str">
        <f>Source!G109</f>
        <v>Плитки керамические для полов рельефные глазурованные, декорированные методом сериографии, квадратные и прямоугольные с многоцветным рисунком толщиной 13 мм</v>
      </c>
      <c r="D292" s="29" t="str">
        <f>Source!H109</f>
        <v>м2</v>
      </c>
      <c r="E292" s="11">
        <f>Source!I109</f>
        <v>49.265999999999998</v>
      </c>
      <c r="F292" s="30">
        <f>Source!AL109+Source!AM109+Source!AO109</f>
        <v>143.57</v>
      </c>
      <c r="G292" s="44" t="s">
        <v>6</v>
      </c>
      <c r="H292" s="30">
        <f>ROUND(Source!AC109*Source!I109, 2)+ROUND(Source!AD109*Source!I109, 2)+ROUND(Source!AF109*Source!I109, 2)</f>
        <v>7073.12</v>
      </c>
      <c r="I292" s="31"/>
      <c r="J292" s="31">
        <f>IF(Source!BC109&lt;&gt; 0, Source!BC109, 1)</f>
        <v>6.71</v>
      </c>
      <c r="K292" s="30">
        <f>Source!O109</f>
        <v>47460.63</v>
      </c>
      <c r="L292" s="32"/>
      <c r="S292">
        <f>ROUND((Source!FX109/100)*((ROUND(Source!AF109*Source!I109, 2)+ROUND(Source!AE109*Source!I109, 2))), 2)</f>
        <v>0</v>
      </c>
      <c r="T292">
        <f>Source!X109</f>
        <v>0</v>
      </c>
      <c r="U292">
        <f>ROUND((Source!FY109/100)*((ROUND(Source!AF109*Source!I109, 2)+ROUND(Source!AE109*Source!I109, 2))), 2)</f>
        <v>0</v>
      </c>
      <c r="V292">
        <f>Source!Y109</f>
        <v>0</v>
      </c>
      <c r="W292">
        <f>IF(Source!BI109&lt;=1,H292, 0)</f>
        <v>7073.12</v>
      </c>
      <c r="X292">
        <f>IF(Source!BI109=2,H292, 0)</f>
        <v>0</v>
      </c>
      <c r="Y292">
        <f>IF(Source!BI109=3,H292, 0)</f>
        <v>0</v>
      </c>
      <c r="Z292">
        <f>IF(Source!BI109=4,H292, 0)</f>
        <v>0</v>
      </c>
    </row>
    <row r="293" spans="1:26" ht="42.75" x14ac:dyDescent="0.2">
      <c r="A293" s="45" t="str">
        <f>Source!E110</f>
        <v>27,3</v>
      </c>
      <c r="B293" s="46" t="str">
        <f>Source!F110</f>
        <v>14.1.06.02-0008</v>
      </c>
      <c r="C293" s="46" t="str">
        <f>Source!G110</f>
        <v>Клей для плитки Ветонит "Быстросхватывающийся клей для ремонтных работ"</v>
      </c>
      <c r="D293" s="29" t="str">
        <f>Source!H110</f>
        <v>т</v>
      </c>
      <c r="E293" s="11">
        <f>Source!I110</f>
        <v>0.21734999999999999</v>
      </c>
      <c r="F293" s="30">
        <f>Source!AL110+Source!AM110+Source!AO110</f>
        <v>7340.57</v>
      </c>
      <c r="G293" s="44" t="s">
        <v>6</v>
      </c>
      <c r="H293" s="30">
        <f>ROUND(Source!AC110*Source!I110, 2)+ROUND(Source!AD110*Source!I110, 2)+ROUND(Source!AF110*Source!I110, 2)</f>
        <v>1595.47</v>
      </c>
      <c r="I293" s="31"/>
      <c r="J293" s="31">
        <f>IF(Source!BC110&lt;&gt; 0, Source!BC110, 1)</f>
        <v>6.71</v>
      </c>
      <c r="K293" s="30">
        <f>Source!O110</f>
        <v>10705.62</v>
      </c>
      <c r="L293" s="32"/>
      <c r="S293">
        <f>ROUND((Source!FX110/100)*((ROUND(Source!AF110*Source!I110, 2)+ROUND(Source!AE110*Source!I110, 2))), 2)</f>
        <v>0</v>
      </c>
      <c r="T293">
        <f>Source!X110</f>
        <v>0</v>
      </c>
      <c r="U293">
        <f>ROUND((Source!FY110/100)*((ROUND(Source!AF110*Source!I110, 2)+ROUND(Source!AE110*Source!I110, 2))), 2)</f>
        <v>0</v>
      </c>
      <c r="V293">
        <f>Source!Y110</f>
        <v>0</v>
      </c>
      <c r="W293">
        <f>IF(Source!BI110&lt;=1,H293, 0)</f>
        <v>1595.47</v>
      </c>
      <c r="X293">
        <f>IF(Source!BI110=2,H293, 0)</f>
        <v>0</v>
      </c>
      <c r="Y293">
        <f>IF(Source!BI110=3,H293, 0)</f>
        <v>0</v>
      </c>
      <c r="Z293">
        <f>IF(Source!BI110=4,H293, 0)</f>
        <v>0</v>
      </c>
    </row>
    <row r="294" spans="1:26" ht="28.5" x14ac:dyDescent="0.2">
      <c r="A294" s="47" t="str">
        <f>Source!E111</f>
        <v>27,4</v>
      </c>
      <c r="B294" s="48" t="str">
        <f>Source!F111</f>
        <v>14.1.06.02-0037</v>
      </c>
      <c r="C294" s="48" t="str">
        <f>Source!G111</f>
        <v>Клей плиточный «Старатель-стандарт»</v>
      </c>
      <c r="D294" s="35" t="str">
        <f>Source!H111</f>
        <v>кг</v>
      </c>
      <c r="E294" s="36">
        <f>Source!I111</f>
        <v>-217.35</v>
      </c>
      <c r="F294" s="37">
        <f>Source!AL111+Source!AM111+Source!AO111</f>
        <v>1.37</v>
      </c>
      <c r="G294" s="42" t="s">
        <v>6</v>
      </c>
      <c r="H294" s="37">
        <f>ROUND(Source!AC111*Source!I111, 2)+ROUND(Source!AD111*Source!I111, 2)+ROUND(Source!AF111*Source!I111, 2)</f>
        <v>-297.77</v>
      </c>
      <c r="I294" s="38"/>
      <c r="J294" s="38">
        <f>IF(Source!BC111&lt;&gt; 0, Source!BC111, 1)</f>
        <v>6.71</v>
      </c>
      <c r="K294" s="37">
        <f>Source!O111</f>
        <v>-1998.03</v>
      </c>
      <c r="L294" s="43"/>
      <c r="S294">
        <f>ROUND((Source!FX111/100)*((ROUND(Source!AF111*Source!I111, 2)+ROUND(Source!AE111*Source!I111, 2))), 2)</f>
        <v>0</v>
      </c>
      <c r="T294">
        <f>Source!X111</f>
        <v>0</v>
      </c>
      <c r="U294">
        <f>ROUND((Source!FY111/100)*((ROUND(Source!AF111*Source!I111, 2)+ROUND(Source!AE111*Source!I111, 2))), 2)</f>
        <v>0</v>
      </c>
      <c r="V294">
        <f>Source!Y111</f>
        <v>0</v>
      </c>
      <c r="W294">
        <f>IF(Source!BI111&lt;=1,H294, 0)</f>
        <v>-297.77</v>
      </c>
      <c r="X294">
        <f>IF(Source!BI111=2,H294, 0)</f>
        <v>0</v>
      </c>
      <c r="Y294">
        <f>IF(Source!BI111=3,H294, 0)</f>
        <v>0</v>
      </c>
      <c r="Z294">
        <f>IF(Source!BI111=4,H294, 0)</f>
        <v>0</v>
      </c>
    </row>
    <row r="295" spans="1:26" ht="15" x14ac:dyDescent="0.25">
      <c r="G295" s="69">
        <f>H284+H285+H287+H288+H289+SUM(H291:H294)</f>
        <v>10912.18</v>
      </c>
      <c r="H295" s="69"/>
      <c r="J295" s="69">
        <f>K284+K285+K287+K288+K289+SUM(K291:K294)</f>
        <v>73247.87</v>
      </c>
      <c r="K295" s="69"/>
      <c r="L295" s="40">
        <f>Source!U107</f>
        <v>79.838161199999988</v>
      </c>
      <c r="O295" s="24">
        <f>G295</f>
        <v>10912.18</v>
      </c>
      <c r="P295" s="24">
        <f>J295</f>
        <v>73247.87</v>
      </c>
      <c r="Q295" s="24">
        <f>L295</f>
        <v>79.838161199999988</v>
      </c>
      <c r="W295">
        <f>IF(Source!BI107&lt;=1,H284+H285+H287+H288+H289, 0)</f>
        <v>5881.59</v>
      </c>
      <c r="X295">
        <f>IF(Source!BI107=2,H284+H285+H287+H288+H289, 0)</f>
        <v>0</v>
      </c>
      <c r="Y295">
        <f>IF(Source!BI107=3,H284+H285+H287+H288+H289, 0)</f>
        <v>0</v>
      </c>
      <c r="Z295">
        <f>IF(Source!BI107=4,H284+H285+H287+H288+H289, 0)</f>
        <v>0</v>
      </c>
    </row>
    <row r="296" spans="1:26" ht="28.5" x14ac:dyDescent="0.2">
      <c r="A296" s="45" t="str">
        <f>Source!E112</f>
        <v>28</v>
      </c>
      <c r="B296" s="46" t="str">
        <f>Source!F112</f>
        <v>11-01-039-04</v>
      </c>
      <c r="C296" s="46" t="str">
        <f>Source!G112</f>
        <v>Устройство плинтусов из плиток керамических</v>
      </c>
      <c r="D296" s="29" t="str">
        <f>Source!H112</f>
        <v>100 м</v>
      </c>
      <c r="E296" s="11">
        <f>Source!I112</f>
        <v>0.46200000000000002</v>
      </c>
      <c r="F296" s="30">
        <f>Source!AL112+Source!AM112+Source!AO112</f>
        <v>232.03</v>
      </c>
      <c r="G296" s="31"/>
      <c r="H296" s="30"/>
      <c r="I296" s="31" t="str">
        <f>Source!BO112</f>
        <v/>
      </c>
      <c r="J296" s="31"/>
      <c r="K296" s="30"/>
      <c r="L296" s="32"/>
      <c r="S296">
        <f>ROUND((Source!FX112/100)*((ROUND(Source!AF112*Source!I112, 2)+ROUND(Source!AE112*Source!I112, 2))), 2)</f>
        <v>160.94999999999999</v>
      </c>
      <c r="T296">
        <f>Source!X112</f>
        <v>1082.83</v>
      </c>
      <c r="U296">
        <f>ROUND((Source!FY112/100)*((ROUND(Source!AF112*Source!I112, 2)+ROUND(Source!AE112*Source!I112, 2))), 2)</f>
        <v>92.69</v>
      </c>
      <c r="V296">
        <f>Source!Y112</f>
        <v>624.33000000000004</v>
      </c>
    </row>
    <row r="297" spans="1:26" x14ac:dyDescent="0.2">
      <c r="C297" s="23" t="str">
        <f>"Объем: "&amp;Source!I112&amp;"=46,2/"&amp;"100"</f>
        <v>Объем: 0,462=46,2/100</v>
      </c>
    </row>
    <row r="298" spans="1:26" ht="14.25" x14ac:dyDescent="0.2">
      <c r="A298" s="45"/>
      <c r="B298" s="46"/>
      <c r="C298" s="46" t="s">
        <v>1083</v>
      </c>
      <c r="D298" s="29"/>
      <c r="E298" s="11"/>
      <c r="F298" s="30">
        <f>Source!AO112</f>
        <v>226.53</v>
      </c>
      <c r="G298" s="31" t="str">
        <f>Source!DG112</f>
        <v>)*1,15)*1,2</v>
      </c>
      <c r="H298" s="30">
        <f>ROUND(Source!AF112*Source!I112, 2)</f>
        <v>144.43</v>
      </c>
      <c r="I298" s="31"/>
      <c r="J298" s="31">
        <f>IF(Source!BA112&lt;&gt; 0, Source!BA112, 1)</f>
        <v>6.71</v>
      </c>
      <c r="K298" s="30">
        <f>Source!S112</f>
        <v>969.1</v>
      </c>
      <c r="L298" s="32"/>
      <c r="R298">
        <f>H298</f>
        <v>144.43</v>
      </c>
    </row>
    <row r="299" spans="1:26" ht="14.25" x14ac:dyDescent="0.2">
      <c r="A299" s="45"/>
      <c r="B299" s="46"/>
      <c r="C299" s="46" t="s">
        <v>139</v>
      </c>
      <c r="D299" s="29"/>
      <c r="E299" s="11"/>
      <c r="F299" s="30">
        <f>Source!AM112</f>
        <v>5.5</v>
      </c>
      <c r="G299" s="31" t="str">
        <f>Source!DE112</f>
        <v>)*1,25)*1,2</v>
      </c>
      <c r="H299" s="30">
        <f>ROUND(Source!AD112*Source!I112, 2)</f>
        <v>3.81</v>
      </c>
      <c r="I299" s="31"/>
      <c r="J299" s="31">
        <f>IF(Source!BB112&lt;&gt; 0, Source!BB112, 1)</f>
        <v>6.71</v>
      </c>
      <c r="K299" s="30">
        <f>Source!Q112</f>
        <v>25.58</v>
      </c>
      <c r="L299" s="32"/>
    </row>
    <row r="300" spans="1:26" ht="14.25" x14ac:dyDescent="0.2">
      <c r="A300" s="45"/>
      <c r="B300" s="46"/>
      <c r="C300" s="46" t="s">
        <v>1084</v>
      </c>
      <c r="D300" s="29"/>
      <c r="E300" s="11"/>
      <c r="F300" s="30">
        <f>Source!AN112</f>
        <v>1.38</v>
      </c>
      <c r="G300" s="31" t="str">
        <f>Source!DF112</f>
        <v>)*1,25)*1,2</v>
      </c>
      <c r="H300" s="33">
        <f>ROUND(Source!AE112*Source!I112, 2)</f>
        <v>0.96</v>
      </c>
      <c r="I300" s="31"/>
      <c r="J300" s="31">
        <f>IF(Source!BS112&lt;&gt; 0, Source!BS112, 1)</f>
        <v>6.71</v>
      </c>
      <c r="K300" s="33">
        <f>Source!R112</f>
        <v>6.42</v>
      </c>
      <c r="L300" s="32"/>
      <c r="R300">
        <f>H300</f>
        <v>0.96</v>
      </c>
    </row>
    <row r="301" spans="1:26" ht="14.25" x14ac:dyDescent="0.2">
      <c r="A301" s="45"/>
      <c r="B301" s="46"/>
      <c r="C301" s="46" t="s">
        <v>1085</v>
      </c>
      <c r="D301" s="29" t="s">
        <v>1086</v>
      </c>
      <c r="E301" s="11">
        <f>Source!BZ112</f>
        <v>123</v>
      </c>
      <c r="F301" s="72" t="str">
        <f>CONCATENATE(" )", Source!DL112, Source!FT112, "=", Source!FX112)</f>
        <v xml:space="preserve"> )*0,9=110,7</v>
      </c>
      <c r="G301" s="73"/>
      <c r="H301" s="30">
        <f>SUM(S296:S307)</f>
        <v>160.94999999999999</v>
      </c>
      <c r="I301" s="34"/>
      <c r="J301" s="27">
        <f>Source!AT112</f>
        <v>111</v>
      </c>
      <c r="K301" s="30">
        <f>SUM(T296:T307)</f>
        <v>1082.83</v>
      </c>
      <c r="L301" s="32"/>
    </row>
    <row r="302" spans="1:26" ht="14.25" x14ac:dyDescent="0.2">
      <c r="A302" s="45"/>
      <c r="B302" s="46"/>
      <c r="C302" s="46" t="s">
        <v>1087</v>
      </c>
      <c r="D302" s="29" t="s">
        <v>1086</v>
      </c>
      <c r="E302" s="11">
        <f>Source!CA112</f>
        <v>75</v>
      </c>
      <c r="F302" s="72" t="str">
        <f>CONCATENATE(" )", Source!DM112, Source!FU112, "=", Source!FY112)</f>
        <v xml:space="preserve"> )*0,85=63,75</v>
      </c>
      <c r="G302" s="73"/>
      <c r="H302" s="30">
        <f>SUM(U296:U307)</f>
        <v>92.69</v>
      </c>
      <c r="I302" s="34"/>
      <c r="J302" s="27">
        <f>Source!AU112</f>
        <v>64</v>
      </c>
      <c r="K302" s="30">
        <f>SUM(V296:V307)</f>
        <v>624.33000000000004</v>
      </c>
      <c r="L302" s="32"/>
    </row>
    <row r="303" spans="1:26" ht="14.25" x14ac:dyDescent="0.2">
      <c r="A303" s="45"/>
      <c r="B303" s="46"/>
      <c r="C303" s="46" t="s">
        <v>1088</v>
      </c>
      <c r="D303" s="29" t="s">
        <v>1089</v>
      </c>
      <c r="E303" s="11">
        <f>Source!AQ112</f>
        <v>23.82</v>
      </c>
      <c r="F303" s="30"/>
      <c r="G303" s="31" t="str">
        <f>Source!DI112</f>
        <v>)*1,15)*1,2</v>
      </c>
      <c r="H303" s="30"/>
      <c r="I303" s="31"/>
      <c r="J303" s="31"/>
      <c r="K303" s="30"/>
      <c r="L303" s="41">
        <f>Source!U112</f>
        <v>15.186679199999999</v>
      </c>
    </row>
    <row r="304" spans="1:26" ht="28.5" x14ac:dyDescent="0.2">
      <c r="A304" s="45" t="str">
        <f>Source!E113</f>
        <v>28,1</v>
      </c>
      <c r="B304" s="46" t="str">
        <f>Source!F113</f>
        <v>04.3.01.09</v>
      </c>
      <c r="C304" s="46" t="str">
        <f>Source!G113</f>
        <v>Раствор готовый кладочный тяжелый цементный</v>
      </c>
      <c r="D304" s="29" t="str">
        <f>Source!H113</f>
        <v>м3</v>
      </c>
      <c r="E304" s="11">
        <f>Source!I113</f>
        <v>7.392E-2</v>
      </c>
      <c r="F304" s="30">
        <f>Source!AL113+Source!AM113+Source!AO113</f>
        <v>0</v>
      </c>
      <c r="G304" s="44" t="s">
        <v>6</v>
      </c>
      <c r="H304" s="30">
        <f>ROUND(Source!AC113*Source!I113, 2)+ROUND(Source!AD113*Source!I113, 2)+ROUND(Source!AF113*Source!I113, 2)</f>
        <v>0</v>
      </c>
      <c r="I304" s="31"/>
      <c r="J304" s="31">
        <f>IF(Source!BC113&lt;&gt; 0, Source!BC113, 1)</f>
        <v>6.71</v>
      </c>
      <c r="K304" s="30">
        <f>Source!O113</f>
        <v>0</v>
      </c>
      <c r="L304" s="32"/>
      <c r="S304">
        <f>ROUND((Source!FX113/100)*((ROUND(Source!AF113*Source!I113, 2)+ROUND(Source!AE113*Source!I113, 2))), 2)</f>
        <v>0</v>
      </c>
      <c r="T304">
        <f>Source!X113</f>
        <v>0</v>
      </c>
      <c r="U304">
        <f>ROUND((Source!FY113/100)*((ROUND(Source!AF113*Source!I113, 2)+ROUND(Source!AE113*Source!I113, 2))), 2)</f>
        <v>0</v>
      </c>
      <c r="V304">
        <f>Source!Y113</f>
        <v>0</v>
      </c>
      <c r="W304">
        <f>IF(Source!BI113&lt;=1,H304, 0)</f>
        <v>0</v>
      </c>
      <c r="X304">
        <f>IF(Source!BI113=2,H304, 0)</f>
        <v>0</v>
      </c>
      <c r="Y304">
        <f>IF(Source!BI113=3,H304, 0)</f>
        <v>0</v>
      </c>
      <c r="Z304">
        <f>IF(Source!BI113=4,H304, 0)</f>
        <v>0</v>
      </c>
    </row>
    <row r="305" spans="1:26" ht="28.5" x14ac:dyDescent="0.2">
      <c r="A305" s="45" t="str">
        <f>Source!E114</f>
        <v>28,2</v>
      </c>
      <c r="B305" s="46" t="str">
        <f>Source!F114</f>
        <v>04.3.01.09-0017</v>
      </c>
      <c r="C305" s="46" t="str">
        <f>Source!G114</f>
        <v>Раствор готовый кладочный цементный</v>
      </c>
      <c r="D305" s="29" t="str">
        <f>Source!H114</f>
        <v>м3</v>
      </c>
      <c r="E305" s="11">
        <f>Source!I114</f>
        <v>7.392E-2</v>
      </c>
      <c r="F305" s="30">
        <f>Source!AL114+Source!AM114+Source!AO114</f>
        <v>651.78</v>
      </c>
      <c r="G305" s="44" t="s">
        <v>6</v>
      </c>
      <c r="H305" s="30">
        <f>ROUND(Source!AC114*Source!I114, 2)+ROUND(Source!AD114*Source!I114, 2)+ROUND(Source!AF114*Source!I114, 2)</f>
        <v>48.18</v>
      </c>
      <c r="I305" s="31"/>
      <c r="J305" s="31">
        <f>IF(Source!BC114&lt;&gt; 0, Source!BC114, 1)</f>
        <v>6.71</v>
      </c>
      <c r="K305" s="30">
        <f>Source!O114</f>
        <v>323.27999999999997</v>
      </c>
      <c r="L305" s="32"/>
      <c r="S305">
        <f>ROUND((Source!FX114/100)*((ROUND(Source!AF114*Source!I114, 2)+ROUND(Source!AE114*Source!I114, 2))), 2)</f>
        <v>0</v>
      </c>
      <c r="T305">
        <f>Source!X114</f>
        <v>0</v>
      </c>
      <c r="U305">
        <f>ROUND((Source!FY114/100)*((ROUND(Source!AF114*Source!I114, 2)+ROUND(Source!AE114*Source!I114, 2))), 2)</f>
        <v>0</v>
      </c>
      <c r="V305">
        <f>Source!Y114</f>
        <v>0</v>
      </c>
      <c r="W305">
        <f>IF(Source!BI114&lt;=1,H305, 0)</f>
        <v>48.18</v>
      </c>
      <c r="X305">
        <f>IF(Source!BI114=2,H305, 0)</f>
        <v>0</v>
      </c>
      <c r="Y305">
        <f>IF(Source!BI114=3,H305, 0)</f>
        <v>0</v>
      </c>
      <c r="Z305">
        <f>IF(Source!BI114=4,H305, 0)</f>
        <v>0</v>
      </c>
    </row>
    <row r="306" spans="1:26" ht="14.25" x14ac:dyDescent="0.2">
      <c r="A306" s="45" t="str">
        <f>Source!E115</f>
        <v>28,3</v>
      </c>
      <c r="B306" s="46" t="str">
        <f>Source!F115</f>
        <v>06.2.05.03</v>
      </c>
      <c r="C306" s="46" t="str">
        <f>Source!G115</f>
        <v>Плитки керамические плинтусные</v>
      </c>
      <c r="D306" s="29" t="str">
        <f>Source!H115</f>
        <v>м</v>
      </c>
      <c r="E306" s="11">
        <f>Source!I115</f>
        <v>46.661999999999999</v>
      </c>
      <c r="F306" s="30">
        <f>Source!AL115+Source!AM115+Source!AO115</f>
        <v>0</v>
      </c>
      <c r="G306" s="44" t="s">
        <v>6</v>
      </c>
      <c r="H306" s="30">
        <f>ROUND(Source!AC115*Source!I115, 2)+ROUND(Source!AD115*Source!I115, 2)+ROUND(Source!AF115*Source!I115, 2)</f>
        <v>0</v>
      </c>
      <c r="I306" s="31"/>
      <c r="J306" s="31">
        <f>IF(Source!BC115&lt;&gt; 0, Source!BC115, 1)</f>
        <v>6.71</v>
      </c>
      <c r="K306" s="30">
        <f>Source!O115</f>
        <v>0</v>
      </c>
      <c r="L306" s="32"/>
      <c r="S306">
        <f>ROUND((Source!FX115/100)*((ROUND(Source!AF115*Source!I115, 2)+ROUND(Source!AE115*Source!I115, 2))), 2)</f>
        <v>0</v>
      </c>
      <c r="T306">
        <f>Source!X115</f>
        <v>0</v>
      </c>
      <c r="U306">
        <f>ROUND((Source!FY115/100)*((ROUND(Source!AF115*Source!I115, 2)+ROUND(Source!AE115*Source!I115, 2))), 2)</f>
        <v>0</v>
      </c>
      <c r="V306">
        <f>Source!Y115</f>
        <v>0</v>
      </c>
      <c r="W306">
        <f>IF(Source!BI115&lt;=1,H306, 0)</f>
        <v>0</v>
      </c>
      <c r="X306">
        <f>IF(Source!BI115=2,H306, 0)</f>
        <v>0</v>
      </c>
      <c r="Y306">
        <f>IF(Source!BI115=3,H306, 0)</f>
        <v>0</v>
      </c>
      <c r="Z306">
        <f>IF(Source!BI115=4,H306, 0)</f>
        <v>0</v>
      </c>
    </row>
    <row r="307" spans="1:26" ht="28.5" x14ac:dyDescent="0.2">
      <c r="A307" s="47" t="str">
        <f>Source!E116</f>
        <v>28,4</v>
      </c>
      <c r="B307" s="48" t="str">
        <f>Source!F116</f>
        <v>06.2.05.03-0031</v>
      </c>
      <c r="C307" s="48" t="str">
        <f>Source!G116</f>
        <v>Плитки керамические плинтусные прямые</v>
      </c>
      <c r="D307" s="35" t="str">
        <f>Source!H116</f>
        <v>м</v>
      </c>
      <c r="E307" s="36">
        <f>Source!I116</f>
        <v>46.661999999999999</v>
      </c>
      <c r="F307" s="37">
        <f>Source!AL116+Source!AM116+Source!AO116</f>
        <v>23.73</v>
      </c>
      <c r="G307" s="42" t="s">
        <v>6</v>
      </c>
      <c r="H307" s="37">
        <f>ROUND(Source!AC116*Source!I116, 2)+ROUND(Source!AD116*Source!I116, 2)+ROUND(Source!AF116*Source!I116, 2)</f>
        <v>1107.29</v>
      </c>
      <c r="I307" s="38"/>
      <c r="J307" s="38">
        <f>IF(Source!BC116&lt;&gt; 0, Source!BC116, 1)</f>
        <v>6.71</v>
      </c>
      <c r="K307" s="37">
        <f>Source!O116</f>
        <v>7429.91</v>
      </c>
      <c r="L307" s="43"/>
      <c r="S307">
        <f>ROUND((Source!FX116/100)*((ROUND(Source!AF116*Source!I116, 2)+ROUND(Source!AE116*Source!I116, 2))), 2)</f>
        <v>0</v>
      </c>
      <c r="T307">
        <f>Source!X116</f>
        <v>0</v>
      </c>
      <c r="U307">
        <f>ROUND((Source!FY116/100)*((ROUND(Source!AF116*Source!I116, 2)+ROUND(Source!AE116*Source!I116, 2))), 2)</f>
        <v>0</v>
      </c>
      <c r="V307">
        <f>Source!Y116</f>
        <v>0</v>
      </c>
      <c r="W307">
        <f>IF(Source!BI116&lt;=1,H307, 0)</f>
        <v>1107.29</v>
      </c>
      <c r="X307">
        <f>IF(Source!BI116=2,H307, 0)</f>
        <v>0</v>
      </c>
      <c r="Y307">
        <f>IF(Source!BI116=3,H307, 0)</f>
        <v>0</v>
      </c>
      <c r="Z307">
        <f>IF(Source!BI116=4,H307, 0)</f>
        <v>0</v>
      </c>
    </row>
    <row r="308" spans="1:26" ht="15" x14ac:dyDescent="0.25">
      <c r="G308" s="69">
        <f>H298+H299+H301+H302+SUM(H304:H307)</f>
        <v>1557.35</v>
      </c>
      <c r="H308" s="69"/>
      <c r="J308" s="69">
        <f>K298+K299+K301+K302+SUM(K304:K307)</f>
        <v>10455.029999999999</v>
      </c>
      <c r="K308" s="69"/>
      <c r="L308" s="40">
        <f>Source!U112</f>
        <v>15.186679199999999</v>
      </c>
      <c r="O308" s="24">
        <f>G308</f>
        <v>1557.35</v>
      </c>
      <c r="P308" s="24">
        <f>J308</f>
        <v>10455.029999999999</v>
      </c>
      <c r="Q308" s="24">
        <f>L308</f>
        <v>15.186679199999999</v>
      </c>
      <c r="W308">
        <f>IF(Source!BI112&lt;=1,H298+H299+H301+H302, 0)</f>
        <v>401.88</v>
      </c>
      <c r="X308">
        <f>IF(Source!BI112=2,H298+H299+H301+H302, 0)</f>
        <v>0</v>
      </c>
      <c r="Y308">
        <f>IF(Source!BI112=3,H298+H299+H301+H302, 0)</f>
        <v>0</v>
      </c>
      <c r="Z308">
        <f>IF(Source!BI112=4,H298+H299+H301+H302, 0)</f>
        <v>0</v>
      </c>
    </row>
    <row r="309" spans="1:26" ht="42.75" x14ac:dyDescent="0.2">
      <c r="A309" s="45" t="str">
        <f>Source!E117</f>
        <v>29</v>
      </c>
      <c r="B309" s="46" t="str">
        <f>Source!F117</f>
        <v>11-01-040-03</v>
      </c>
      <c r="C309" s="46" t="str">
        <f>Source!G117</f>
        <v>Устройство плинтусов поливинилхлоридных на винтах самонарезающих</v>
      </c>
      <c r="D309" s="29" t="str">
        <f>Source!H117</f>
        <v>100 м</v>
      </c>
      <c r="E309" s="11">
        <f>Source!I117</f>
        <v>1.075</v>
      </c>
      <c r="F309" s="30">
        <f>Source!AL117+Source!AM117+Source!AO117</f>
        <v>137.09</v>
      </c>
      <c r="G309" s="31"/>
      <c r="H309" s="30"/>
      <c r="I309" s="31" t="str">
        <f>Source!BO117</f>
        <v/>
      </c>
      <c r="J309" s="31"/>
      <c r="K309" s="30"/>
      <c r="L309" s="32"/>
      <c r="S309">
        <f>ROUND((Source!FX117/100)*((ROUND(Source!AF117*Source!I117, 2)+ROUND(Source!AE117*Source!I117, 2))), 2)</f>
        <v>101.46</v>
      </c>
      <c r="T309">
        <f>Source!X117</f>
        <v>682.57</v>
      </c>
      <c r="U309">
        <f>ROUND((Source!FY117/100)*((ROUND(Source!AF117*Source!I117, 2)+ROUND(Source!AE117*Source!I117, 2))), 2)</f>
        <v>58.43</v>
      </c>
      <c r="V309">
        <f>Source!Y117</f>
        <v>393.56</v>
      </c>
    </row>
    <row r="310" spans="1:26" x14ac:dyDescent="0.2">
      <c r="C310" s="23" t="str">
        <f>"Объем: "&amp;Source!I117&amp;"=107,5/"&amp;"100"</f>
        <v>Объем: 1,075=107,5/100</v>
      </c>
    </row>
    <row r="311" spans="1:26" ht="14.25" x14ac:dyDescent="0.2">
      <c r="A311" s="45"/>
      <c r="B311" s="46"/>
      <c r="C311" s="46" t="s">
        <v>1083</v>
      </c>
      <c r="D311" s="29"/>
      <c r="E311" s="11"/>
      <c r="F311" s="30">
        <f>Source!AO117</f>
        <v>61.32</v>
      </c>
      <c r="G311" s="31" t="str">
        <f>Source!DG117</f>
        <v>)*1,15)*1,2</v>
      </c>
      <c r="H311" s="30">
        <f>ROUND(Source!AF117*Source!I117, 2)</f>
        <v>90.97</v>
      </c>
      <c r="I311" s="31"/>
      <c r="J311" s="31">
        <f>IF(Source!BA117&lt;&gt; 0, Source!BA117, 1)</f>
        <v>6.71</v>
      </c>
      <c r="K311" s="30">
        <f>Source!S117</f>
        <v>610.39</v>
      </c>
      <c r="L311" s="32"/>
      <c r="R311">
        <f>H311</f>
        <v>90.97</v>
      </c>
    </row>
    <row r="312" spans="1:26" ht="14.25" x14ac:dyDescent="0.2">
      <c r="A312" s="45"/>
      <c r="B312" s="46"/>
      <c r="C312" s="46" t="s">
        <v>139</v>
      </c>
      <c r="D312" s="29"/>
      <c r="E312" s="11"/>
      <c r="F312" s="30">
        <f>Source!AM117</f>
        <v>2.13</v>
      </c>
      <c r="G312" s="31" t="str">
        <f>Source!DE117</f>
        <v>)*1,25)*1,2</v>
      </c>
      <c r="H312" s="30">
        <f>ROUND(Source!AD117*Source!I117, 2)</f>
        <v>3.44</v>
      </c>
      <c r="I312" s="31"/>
      <c r="J312" s="31">
        <f>IF(Source!BB117&lt;&gt; 0, Source!BB117, 1)</f>
        <v>6.71</v>
      </c>
      <c r="K312" s="30">
        <f>Source!Q117</f>
        <v>23.08</v>
      </c>
      <c r="L312" s="32"/>
    </row>
    <row r="313" spans="1:26" ht="14.25" x14ac:dyDescent="0.2">
      <c r="A313" s="45"/>
      <c r="B313" s="46"/>
      <c r="C313" s="46" t="s">
        <v>1084</v>
      </c>
      <c r="D313" s="29"/>
      <c r="E313" s="11"/>
      <c r="F313" s="30">
        <f>Source!AN117</f>
        <v>0.42</v>
      </c>
      <c r="G313" s="31" t="str">
        <f>Source!DF117</f>
        <v>)*1,25)*1,2</v>
      </c>
      <c r="H313" s="33">
        <f>ROUND(Source!AE117*Source!I117, 2)</f>
        <v>0.68</v>
      </c>
      <c r="I313" s="31"/>
      <c r="J313" s="31">
        <f>IF(Source!BS117&lt;&gt; 0, Source!BS117, 1)</f>
        <v>6.71</v>
      </c>
      <c r="K313" s="33">
        <f>Source!R117</f>
        <v>4.54</v>
      </c>
      <c r="L313" s="32"/>
      <c r="R313">
        <f>H313</f>
        <v>0.68</v>
      </c>
    </row>
    <row r="314" spans="1:26" ht="14.25" x14ac:dyDescent="0.2">
      <c r="A314" s="45"/>
      <c r="B314" s="46"/>
      <c r="C314" s="46" t="s">
        <v>1090</v>
      </c>
      <c r="D314" s="29"/>
      <c r="E314" s="11"/>
      <c r="F314" s="30">
        <f>Source!AL117</f>
        <v>73.64</v>
      </c>
      <c r="G314" s="31" t="str">
        <f>Source!DD117</f>
        <v/>
      </c>
      <c r="H314" s="30">
        <f>ROUND(Source!AC117*Source!I117, 2)</f>
        <v>79.16</v>
      </c>
      <c r="I314" s="31"/>
      <c r="J314" s="31">
        <f>IF(Source!BC117&lt;&gt; 0, Source!BC117, 1)</f>
        <v>6.71</v>
      </c>
      <c r="K314" s="30">
        <f>Source!P117</f>
        <v>531.17999999999995</v>
      </c>
      <c r="L314" s="32"/>
    </row>
    <row r="315" spans="1:26" ht="14.25" x14ac:dyDescent="0.2">
      <c r="A315" s="45"/>
      <c r="B315" s="46"/>
      <c r="C315" s="46" t="s">
        <v>1085</v>
      </c>
      <c r="D315" s="29" t="s">
        <v>1086</v>
      </c>
      <c r="E315" s="11">
        <f>Source!BZ117</f>
        <v>123</v>
      </c>
      <c r="F315" s="72" t="str">
        <f>CONCATENATE(" )", Source!DL117, Source!FT117, "=", Source!FX117)</f>
        <v xml:space="preserve"> )*0,9=110,7</v>
      </c>
      <c r="G315" s="73"/>
      <c r="H315" s="30">
        <f>SUM(S309:S329)</f>
        <v>101.46</v>
      </c>
      <c r="I315" s="34"/>
      <c r="J315" s="27">
        <f>Source!AT117</f>
        <v>111</v>
      </c>
      <c r="K315" s="30">
        <f>SUM(T309:T329)</f>
        <v>682.57</v>
      </c>
      <c r="L315" s="32"/>
    </row>
    <row r="316" spans="1:26" ht="14.25" x14ac:dyDescent="0.2">
      <c r="A316" s="45"/>
      <c r="B316" s="46"/>
      <c r="C316" s="46" t="s">
        <v>1087</v>
      </c>
      <c r="D316" s="29" t="s">
        <v>1086</v>
      </c>
      <c r="E316" s="11">
        <f>Source!CA117</f>
        <v>75</v>
      </c>
      <c r="F316" s="72" t="str">
        <f>CONCATENATE(" )", Source!DM117, Source!FU117, "=", Source!FY117)</f>
        <v xml:space="preserve"> )*0,85=63,75</v>
      </c>
      <c r="G316" s="73"/>
      <c r="H316" s="30">
        <f>SUM(U309:U329)</f>
        <v>58.43</v>
      </c>
      <c r="I316" s="34"/>
      <c r="J316" s="27">
        <f>Source!AU117</f>
        <v>64</v>
      </c>
      <c r="K316" s="30">
        <f>SUM(V309:V329)</f>
        <v>393.56</v>
      </c>
      <c r="L316" s="32"/>
    </row>
    <row r="317" spans="1:26" ht="14.25" x14ac:dyDescent="0.2">
      <c r="A317" s="45"/>
      <c r="B317" s="46"/>
      <c r="C317" s="46" t="s">
        <v>1088</v>
      </c>
      <c r="D317" s="29" t="s">
        <v>1089</v>
      </c>
      <c r="E317" s="11">
        <f>Source!AQ117</f>
        <v>6.68</v>
      </c>
      <c r="F317" s="30"/>
      <c r="G317" s="31" t="str">
        <f>Source!DI117</f>
        <v>)*1,15)*1,2</v>
      </c>
      <c r="H317" s="30"/>
      <c r="I317" s="31"/>
      <c r="J317" s="31"/>
      <c r="K317" s="30"/>
      <c r="L317" s="41">
        <f>Source!U117</f>
        <v>9.9097799999999978</v>
      </c>
    </row>
    <row r="318" spans="1:26" ht="28.5" x14ac:dyDescent="0.2">
      <c r="A318" s="45" t="str">
        <f>Source!E118</f>
        <v>29,1</v>
      </c>
      <c r="B318" s="46" t="str">
        <f>Source!F118</f>
        <v>11.3.03.06-0001</v>
      </c>
      <c r="C318" s="46" t="str">
        <f>Source!G118</f>
        <v>Плинтуса для полов пластиковые, 19х48 мм</v>
      </c>
      <c r="D318" s="29" t="str">
        <f>Source!H118</f>
        <v>м</v>
      </c>
      <c r="E318" s="11">
        <f>Source!I118</f>
        <v>108.57499999999999</v>
      </c>
      <c r="F318" s="30">
        <f>Source!AL118+Source!AM118+Source!AO118</f>
        <v>12.3</v>
      </c>
      <c r="G318" s="44" t="s">
        <v>6</v>
      </c>
      <c r="H318" s="30">
        <f>ROUND(Source!AC118*Source!I118, 2)+ROUND(Source!AD118*Source!I118, 2)+ROUND(Source!AF118*Source!I118, 2)</f>
        <v>1335.47</v>
      </c>
      <c r="I318" s="31"/>
      <c r="J318" s="31">
        <f>IF(Source!BC118&lt;&gt; 0, Source!BC118, 1)</f>
        <v>6.71</v>
      </c>
      <c r="K318" s="30">
        <f>Source!O118</f>
        <v>8961.02</v>
      </c>
      <c r="L318" s="32"/>
      <c r="S318">
        <f>ROUND((Source!FX118/100)*((ROUND(Source!AF118*Source!I118, 2)+ROUND(Source!AE118*Source!I118, 2))), 2)</f>
        <v>0</v>
      </c>
      <c r="T318">
        <f>Source!X118</f>
        <v>0</v>
      </c>
      <c r="U318">
        <f>ROUND((Source!FY118/100)*((ROUND(Source!AF118*Source!I118, 2)+ROUND(Source!AE118*Source!I118, 2))), 2)</f>
        <v>0</v>
      </c>
      <c r="V318">
        <f>Source!Y118</f>
        <v>0</v>
      </c>
      <c r="W318">
        <f>IF(Source!BI118&lt;=1,H318, 0)</f>
        <v>1335.47</v>
      </c>
      <c r="X318">
        <f>IF(Source!BI118=2,H318, 0)</f>
        <v>0</v>
      </c>
      <c r="Y318">
        <f>IF(Source!BI118=3,H318, 0)</f>
        <v>0</v>
      </c>
      <c r="Z318">
        <f>IF(Source!BI118=4,H318, 0)</f>
        <v>0</v>
      </c>
    </row>
    <row r="319" spans="1:26" ht="28.5" x14ac:dyDescent="0.2">
      <c r="A319" s="45" t="str">
        <f>Source!E119</f>
        <v>29,2</v>
      </c>
      <c r="B319" s="46" t="str">
        <f>Source!F119</f>
        <v>11.3.03.14-0001</v>
      </c>
      <c r="C319" s="46" t="str">
        <f>Source!G119</f>
        <v>Заглушка торцевая для пластикового плинтуса левая, высота 48 мм</v>
      </c>
      <c r="D319" s="29" t="str">
        <f>Source!H119</f>
        <v>100 шт.</v>
      </c>
      <c r="E319" s="11">
        <f>Source!I119</f>
        <v>0.08</v>
      </c>
      <c r="F319" s="30">
        <f>Source!AL119+Source!AM119+Source!AO119</f>
        <v>63</v>
      </c>
      <c r="G319" s="44" t="s">
        <v>6</v>
      </c>
      <c r="H319" s="30">
        <f>ROUND(Source!AC119*Source!I119, 2)+ROUND(Source!AD119*Source!I119, 2)+ROUND(Source!AF119*Source!I119, 2)</f>
        <v>5.04</v>
      </c>
      <c r="I319" s="31"/>
      <c r="J319" s="31">
        <f>IF(Source!BC119&lt;&gt; 0, Source!BC119, 1)</f>
        <v>6.71</v>
      </c>
      <c r="K319" s="30">
        <f>Source!O119</f>
        <v>33.82</v>
      </c>
      <c r="L319" s="32"/>
      <c r="S319">
        <f>ROUND((Source!FX119/100)*((ROUND(Source!AF119*Source!I119, 2)+ROUND(Source!AE119*Source!I119, 2))), 2)</f>
        <v>0</v>
      </c>
      <c r="T319">
        <f>Source!X119</f>
        <v>0</v>
      </c>
      <c r="U319">
        <f>ROUND((Source!FY119/100)*((ROUND(Source!AF119*Source!I119, 2)+ROUND(Source!AE119*Source!I119, 2))), 2)</f>
        <v>0</v>
      </c>
      <c r="V319">
        <f>Source!Y119</f>
        <v>0</v>
      </c>
      <c r="W319">
        <f>IF(Source!BI119&lt;=1,H319, 0)</f>
        <v>5.04</v>
      </c>
      <c r="X319">
        <f>IF(Source!BI119=2,H319, 0)</f>
        <v>0</v>
      </c>
      <c r="Y319">
        <f>IF(Source!BI119=3,H319, 0)</f>
        <v>0</v>
      </c>
      <c r="Z319">
        <f>IF(Source!BI119=4,H319, 0)</f>
        <v>0</v>
      </c>
    </row>
    <row r="320" spans="1:26" ht="28.5" x14ac:dyDescent="0.2">
      <c r="A320" s="45" t="str">
        <f>Source!E120</f>
        <v>29,3</v>
      </c>
      <c r="B320" s="46" t="str">
        <f>Source!F120</f>
        <v>11.3.03.14-0011</v>
      </c>
      <c r="C320" s="46" t="str">
        <f>Source!G120</f>
        <v>Заглушки торцевая для пластикового плинтуса правая, высота 48 мм</v>
      </c>
      <c r="D320" s="29" t="str">
        <f>Source!H120</f>
        <v>100 шт.</v>
      </c>
      <c r="E320" s="11">
        <f>Source!I120</f>
        <v>0.08</v>
      </c>
      <c r="F320" s="30">
        <f>Source!AL120+Source!AM120+Source!AO120</f>
        <v>63</v>
      </c>
      <c r="G320" s="44" t="s">
        <v>6</v>
      </c>
      <c r="H320" s="30">
        <f>ROUND(Source!AC120*Source!I120, 2)+ROUND(Source!AD120*Source!I120, 2)+ROUND(Source!AF120*Source!I120, 2)</f>
        <v>5.04</v>
      </c>
      <c r="I320" s="31"/>
      <c r="J320" s="31">
        <f>IF(Source!BC120&lt;&gt; 0, Source!BC120, 1)</f>
        <v>6.71</v>
      </c>
      <c r="K320" s="30">
        <f>Source!O120</f>
        <v>33.82</v>
      </c>
      <c r="L320" s="32"/>
      <c r="S320">
        <f>ROUND((Source!FX120/100)*((ROUND(Source!AF120*Source!I120, 2)+ROUND(Source!AE120*Source!I120, 2))), 2)</f>
        <v>0</v>
      </c>
      <c r="T320">
        <f>Source!X120</f>
        <v>0</v>
      </c>
      <c r="U320">
        <f>ROUND((Source!FY120/100)*((ROUND(Source!AF120*Source!I120, 2)+ROUND(Source!AE120*Source!I120, 2))), 2)</f>
        <v>0</v>
      </c>
      <c r="V320">
        <f>Source!Y120</f>
        <v>0</v>
      </c>
      <c r="W320">
        <f>IF(Source!BI120&lt;=1,H320, 0)</f>
        <v>5.04</v>
      </c>
      <c r="X320">
        <f>IF(Source!BI120=2,H320, 0)</f>
        <v>0</v>
      </c>
      <c r="Y320">
        <f>IF(Source!BI120=3,H320, 0)</f>
        <v>0</v>
      </c>
      <c r="Z320">
        <f>IF(Source!BI120=4,H320, 0)</f>
        <v>0</v>
      </c>
    </row>
    <row r="321" spans="1:26" ht="28.5" x14ac:dyDescent="0.2">
      <c r="A321" s="45" t="str">
        <f>Source!E121</f>
        <v>29,4</v>
      </c>
      <c r="B321" s="46" t="str">
        <f>Source!F121</f>
        <v>11.3.03.14-0021</v>
      </c>
      <c r="C321" s="46" t="str">
        <f>Source!G121</f>
        <v>Соединитель для пластикового плинтуса, высота 48 мм</v>
      </c>
      <c r="D321" s="29" t="str">
        <f>Source!H121</f>
        <v>100 шт.</v>
      </c>
      <c r="E321" s="11">
        <f>Source!I121</f>
        <v>0.43</v>
      </c>
      <c r="F321" s="30">
        <f>Source!AL121+Source!AM121+Source!AO121</f>
        <v>128</v>
      </c>
      <c r="G321" s="44" t="s">
        <v>6</v>
      </c>
      <c r="H321" s="30">
        <f>ROUND(Source!AC121*Source!I121, 2)+ROUND(Source!AD121*Source!I121, 2)+ROUND(Source!AF121*Source!I121, 2)</f>
        <v>55.04</v>
      </c>
      <c r="I321" s="31"/>
      <c r="J321" s="31">
        <f>IF(Source!BC121&lt;&gt; 0, Source!BC121, 1)</f>
        <v>6.71</v>
      </c>
      <c r="K321" s="30">
        <f>Source!O121</f>
        <v>369.32</v>
      </c>
      <c r="L321" s="32"/>
      <c r="S321">
        <f>ROUND((Source!FX121/100)*((ROUND(Source!AF121*Source!I121, 2)+ROUND(Source!AE121*Source!I121, 2))), 2)</f>
        <v>0</v>
      </c>
      <c r="T321">
        <f>Source!X121</f>
        <v>0</v>
      </c>
      <c r="U321">
        <f>ROUND((Source!FY121/100)*((ROUND(Source!AF121*Source!I121, 2)+ROUND(Source!AE121*Source!I121, 2))), 2)</f>
        <v>0</v>
      </c>
      <c r="V321">
        <f>Source!Y121</f>
        <v>0</v>
      </c>
      <c r="W321">
        <f>IF(Source!BI121&lt;=1,H321, 0)</f>
        <v>55.04</v>
      </c>
      <c r="X321">
        <f>IF(Source!BI121=2,H321, 0)</f>
        <v>0</v>
      </c>
      <c r="Y321">
        <f>IF(Source!BI121=3,H321, 0)</f>
        <v>0</v>
      </c>
      <c r="Z321">
        <f>IF(Source!BI121=4,H321, 0)</f>
        <v>0</v>
      </c>
    </row>
    <row r="322" spans="1:26" ht="28.5" x14ac:dyDescent="0.2">
      <c r="A322" s="45" t="str">
        <f>Source!E122</f>
        <v>29,5</v>
      </c>
      <c r="B322" s="46" t="str">
        <f>Source!F122</f>
        <v>11.3.03.14-0031</v>
      </c>
      <c r="C322" s="46" t="str">
        <f>Source!G122</f>
        <v>Уголок внутренний для пластикового плинтуса, высота 48 мм</v>
      </c>
      <c r="D322" s="29" t="str">
        <f>Source!H122</f>
        <v>100 шт.</v>
      </c>
      <c r="E322" s="11">
        <f>Source!I122</f>
        <v>7.0000000000000007E-2</v>
      </c>
      <c r="F322" s="30">
        <f>Source!AL122+Source!AM122+Source!AO122</f>
        <v>128</v>
      </c>
      <c r="G322" s="44" t="s">
        <v>6</v>
      </c>
      <c r="H322" s="30">
        <f>ROUND(Source!AC122*Source!I122, 2)+ROUND(Source!AD122*Source!I122, 2)+ROUND(Source!AF122*Source!I122, 2)</f>
        <v>8.9600000000000009</v>
      </c>
      <c r="I322" s="31"/>
      <c r="J322" s="31">
        <f>IF(Source!BC122&lt;&gt; 0, Source!BC122, 1)</f>
        <v>6.71</v>
      </c>
      <c r="K322" s="30">
        <f>Source!O122</f>
        <v>60.12</v>
      </c>
      <c r="L322" s="32"/>
      <c r="S322">
        <f>ROUND((Source!FX122/100)*((ROUND(Source!AF122*Source!I122, 2)+ROUND(Source!AE122*Source!I122, 2))), 2)</f>
        <v>0</v>
      </c>
      <c r="T322">
        <f>Source!X122</f>
        <v>0</v>
      </c>
      <c r="U322">
        <f>ROUND((Source!FY122/100)*((ROUND(Source!AF122*Source!I122, 2)+ROUND(Source!AE122*Source!I122, 2))), 2)</f>
        <v>0</v>
      </c>
      <c r="V322">
        <f>Source!Y122</f>
        <v>0</v>
      </c>
      <c r="W322">
        <f>IF(Source!BI122&lt;=1,H322, 0)</f>
        <v>8.9600000000000009</v>
      </c>
      <c r="X322">
        <f>IF(Source!BI122=2,H322, 0)</f>
        <v>0</v>
      </c>
      <c r="Y322">
        <f>IF(Source!BI122=3,H322, 0)</f>
        <v>0</v>
      </c>
      <c r="Z322">
        <f>IF(Source!BI122=4,H322, 0)</f>
        <v>0</v>
      </c>
    </row>
    <row r="323" spans="1:26" ht="28.5" x14ac:dyDescent="0.2">
      <c r="A323" s="45" t="str">
        <f>Source!E123</f>
        <v>29,6</v>
      </c>
      <c r="B323" s="46" t="str">
        <f>Source!F123</f>
        <v>11.3.03.14-0033</v>
      </c>
      <c r="C323" s="46" t="str">
        <f>Source!G123</f>
        <v>Уголок наружный для пластикового плинтуса, высота 48 мм</v>
      </c>
      <c r="D323" s="29" t="str">
        <f>Source!H123</f>
        <v>100 шт.</v>
      </c>
      <c r="E323" s="11">
        <f>Source!I123</f>
        <v>7.0000000000000007E-2</v>
      </c>
      <c r="F323" s="30">
        <f>Source!AL123+Source!AM123+Source!AO123</f>
        <v>128</v>
      </c>
      <c r="G323" s="44" t="s">
        <v>6</v>
      </c>
      <c r="H323" s="30">
        <f>ROUND(Source!AC123*Source!I123, 2)+ROUND(Source!AD123*Source!I123, 2)+ROUND(Source!AF123*Source!I123, 2)</f>
        <v>8.9600000000000009</v>
      </c>
      <c r="I323" s="31"/>
      <c r="J323" s="31">
        <f>IF(Source!BC123&lt;&gt; 0, Source!BC123, 1)</f>
        <v>6.71</v>
      </c>
      <c r="K323" s="30">
        <f>Source!O123</f>
        <v>60.12</v>
      </c>
      <c r="L323" s="32"/>
      <c r="S323">
        <f>ROUND((Source!FX123/100)*((ROUND(Source!AF123*Source!I123, 2)+ROUND(Source!AE123*Source!I123, 2))), 2)</f>
        <v>0</v>
      </c>
      <c r="T323">
        <f>Source!X123</f>
        <v>0</v>
      </c>
      <c r="U323">
        <f>ROUND((Source!FY123/100)*((ROUND(Source!AF123*Source!I123, 2)+ROUND(Source!AE123*Source!I123, 2))), 2)</f>
        <v>0</v>
      </c>
      <c r="V323">
        <f>Source!Y123</f>
        <v>0</v>
      </c>
      <c r="W323">
        <f>IF(Source!BI123&lt;=1,H323, 0)</f>
        <v>8.9600000000000009</v>
      </c>
      <c r="X323">
        <f>IF(Source!BI123=2,H323, 0)</f>
        <v>0</v>
      </c>
      <c r="Y323">
        <f>IF(Source!BI123=3,H323, 0)</f>
        <v>0</v>
      </c>
      <c r="Z323">
        <f>IF(Source!BI123=4,H323, 0)</f>
        <v>0</v>
      </c>
    </row>
    <row r="324" spans="1:26" ht="14.25" x14ac:dyDescent="0.2">
      <c r="A324" s="45" t="str">
        <f>Source!E124</f>
        <v>29,7</v>
      </c>
      <c r="B324" s="46" t="str">
        <f>Source!F124</f>
        <v>11.3.03.06</v>
      </c>
      <c r="C324" s="46" t="str">
        <f>Source!G124</f>
        <v>Плинтуса для полов пластиковые</v>
      </c>
      <c r="D324" s="29" t="str">
        <f>Source!H124</f>
        <v>м</v>
      </c>
      <c r="E324" s="11">
        <f>Source!I124</f>
        <v>108.57499999999999</v>
      </c>
      <c r="F324" s="30">
        <f>Source!AL124+Source!AM124+Source!AO124</f>
        <v>0</v>
      </c>
      <c r="G324" s="44" t="s">
        <v>6</v>
      </c>
      <c r="H324" s="30">
        <f>ROUND(Source!AC124*Source!I124, 2)+ROUND(Source!AD124*Source!I124, 2)+ROUND(Source!AF124*Source!I124, 2)</f>
        <v>0</v>
      </c>
      <c r="I324" s="31"/>
      <c r="J324" s="31">
        <f>IF(Source!BC124&lt;&gt; 0, Source!BC124, 1)</f>
        <v>6.71</v>
      </c>
      <c r="K324" s="30">
        <f>Source!O124</f>
        <v>0</v>
      </c>
      <c r="L324" s="32"/>
      <c r="S324">
        <f>ROUND((Source!FX124/100)*((ROUND(Source!AF124*Source!I124, 2)+ROUND(Source!AE124*Source!I124, 2))), 2)</f>
        <v>0</v>
      </c>
      <c r="T324">
        <f>Source!X124</f>
        <v>0</v>
      </c>
      <c r="U324">
        <f>ROUND((Source!FY124/100)*((ROUND(Source!AF124*Source!I124, 2)+ROUND(Source!AE124*Source!I124, 2))), 2)</f>
        <v>0</v>
      </c>
      <c r="V324">
        <f>Source!Y124</f>
        <v>0</v>
      </c>
      <c r="W324">
        <f>IF(Source!BI124&lt;=1,H324, 0)</f>
        <v>0</v>
      </c>
      <c r="X324">
        <f>IF(Source!BI124=2,H324, 0)</f>
        <v>0</v>
      </c>
      <c r="Y324">
        <f>IF(Source!BI124=3,H324, 0)</f>
        <v>0</v>
      </c>
      <c r="Z324">
        <f>IF(Source!BI124=4,H324, 0)</f>
        <v>0</v>
      </c>
    </row>
    <row r="325" spans="1:26" ht="28.5" x14ac:dyDescent="0.2">
      <c r="A325" s="45" t="str">
        <f>Source!E125</f>
        <v>29,8</v>
      </c>
      <c r="B325" s="46" t="str">
        <f>Source!F125</f>
        <v>11.3.03.14</v>
      </c>
      <c r="C325" s="46" t="str">
        <f>Source!G125</f>
        <v>Уголок наружный для пластикового плинтуса</v>
      </c>
      <c r="D325" s="29" t="str">
        <f>Source!H125</f>
        <v>шт.</v>
      </c>
      <c r="E325" s="11">
        <f>Source!I125</f>
        <v>7</v>
      </c>
      <c r="F325" s="30">
        <f>Source!AL125+Source!AM125+Source!AO125</f>
        <v>0</v>
      </c>
      <c r="G325" s="44" t="s">
        <v>6</v>
      </c>
      <c r="H325" s="30">
        <f>ROUND(Source!AC125*Source!I125, 2)+ROUND(Source!AD125*Source!I125, 2)+ROUND(Source!AF125*Source!I125, 2)</f>
        <v>0</v>
      </c>
      <c r="I325" s="31"/>
      <c r="J325" s="31">
        <f>IF(Source!BC125&lt;&gt; 0, Source!BC125, 1)</f>
        <v>6.71</v>
      </c>
      <c r="K325" s="30">
        <f>Source!O125</f>
        <v>0</v>
      </c>
      <c r="L325" s="32"/>
      <c r="S325">
        <f>ROUND((Source!FX125/100)*((ROUND(Source!AF125*Source!I125, 2)+ROUND(Source!AE125*Source!I125, 2))), 2)</f>
        <v>0</v>
      </c>
      <c r="T325">
        <f>Source!X125</f>
        <v>0</v>
      </c>
      <c r="U325">
        <f>ROUND((Source!FY125/100)*((ROUND(Source!AF125*Source!I125, 2)+ROUND(Source!AE125*Source!I125, 2))), 2)</f>
        <v>0</v>
      </c>
      <c r="V325">
        <f>Source!Y125</f>
        <v>0</v>
      </c>
      <c r="W325">
        <f>IF(Source!BI125&lt;=1,H325, 0)</f>
        <v>0</v>
      </c>
      <c r="X325">
        <f>IF(Source!BI125=2,H325, 0)</f>
        <v>0</v>
      </c>
      <c r="Y325">
        <f>IF(Source!BI125=3,H325, 0)</f>
        <v>0</v>
      </c>
      <c r="Z325">
        <f>IF(Source!BI125=4,H325, 0)</f>
        <v>0</v>
      </c>
    </row>
    <row r="326" spans="1:26" ht="28.5" x14ac:dyDescent="0.2">
      <c r="A326" s="45" t="str">
        <f>Source!E126</f>
        <v>29,9</v>
      </c>
      <c r="B326" s="46" t="str">
        <f>Source!F126</f>
        <v>11.3.03.14</v>
      </c>
      <c r="C326" s="46" t="str">
        <f>Source!G126</f>
        <v>Уголок внутренний для пластикового плинтуса</v>
      </c>
      <c r="D326" s="29" t="str">
        <f>Source!H126</f>
        <v>шт.</v>
      </c>
      <c r="E326" s="11">
        <f>Source!I126</f>
        <v>7</v>
      </c>
      <c r="F326" s="30">
        <f>Source!AL126+Source!AM126+Source!AO126</f>
        <v>0</v>
      </c>
      <c r="G326" s="44" t="s">
        <v>6</v>
      </c>
      <c r="H326" s="30">
        <f>ROUND(Source!AC126*Source!I126, 2)+ROUND(Source!AD126*Source!I126, 2)+ROUND(Source!AF126*Source!I126, 2)</f>
        <v>0</v>
      </c>
      <c r="I326" s="31"/>
      <c r="J326" s="31">
        <f>IF(Source!BC126&lt;&gt; 0, Source!BC126, 1)</f>
        <v>6.71</v>
      </c>
      <c r="K326" s="30">
        <f>Source!O126</f>
        <v>0</v>
      </c>
      <c r="L326" s="32"/>
      <c r="S326">
        <f>ROUND((Source!FX126/100)*((ROUND(Source!AF126*Source!I126, 2)+ROUND(Source!AE126*Source!I126, 2))), 2)</f>
        <v>0</v>
      </c>
      <c r="T326">
        <f>Source!X126</f>
        <v>0</v>
      </c>
      <c r="U326">
        <f>ROUND((Source!FY126/100)*((ROUND(Source!AF126*Source!I126, 2)+ROUND(Source!AE126*Source!I126, 2))), 2)</f>
        <v>0</v>
      </c>
      <c r="V326">
        <f>Source!Y126</f>
        <v>0</v>
      </c>
      <c r="W326">
        <f>IF(Source!BI126&lt;=1,H326, 0)</f>
        <v>0</v>
      </c>
      <c r="X326">
        <f>IF(Source!BI126=2,H326, 0)</f>
        <v>0</v>
      </c>
      <c r="Y326">
        <f>IF(Source!BI126=3,H326, 0)</f>
        <v>0</v>
      </c>
      <c r="Z326">
        <f>IF(Source!BI126=4,H326, 0)</f>
        <v>0</v>
      </c>
    </row>
    <row r="327" spans="1:26" ht="28.5" x14ac:dyDescent="0.2">
      <c r="A327" s="45" t="str">
        <f>Source!E127</f>
        <v>29,10</v>
      </c>
      <c r="B327" s="46" t="str">
        <f>Source!F127</f>
        <v>11.3.03.14</v>
      </c>
      <c r="C327" s="46" t="str">
        <f>Source!G127</f>
        <v>Соединитель для пластикового плинтуса</v>
      </c>
      <c r="D327" s="29" t="str">
        <f>Source!H127</f>
        <v>шт.</v>
      </c>
      <c r="E327" s="11">
        <f>Source!I127</f>
        <v>43</v>
      </c>
      <c r="F327" s="30">
        <f>Source!AL127+Source!AM127+Source!AO127</f>
        <v>0</v>
      </c>
      <c r="G327" s="44" t="s">
        <v>6</v>
      </c>
      <c r="H327" s="30">
        <f>ROUND(Source!AC127*Source!I127, 2)+ROUND(Source!AD127*Source!I127, 2)+ROUND(Source!AF127*Source!I127, 2)</f>
        <v>0</v>
      </c>
      <c r="I327" s="31"/>
      <c r="J327" s="31">
        <f>IF(Source!BC127&lt;&gt; 0, Source!BC127, 1)</f>
        <v>6.71</v>
      </c>
      <c r="K327" s="30">
        <f>Source!O127</f>
        <v>0</v>
      </c>
      <c r="L327" s="32"/>
      <c r="S327">
        <f>ROUND((Source!FX127/100)*((ROUND(Source!AF127*Source!I127, 2)+ROUND(Source!AE127*Source!I127, 2))), 2)</f>
        <v>0</v>
      </c>
      <c r="T327">
        <f>Source!X127</f>
        <v>0</v>
      </c>
      <c r="U327">
        <f>ROUND((Source!FY127/100)*((ROUND(Source!AF127*Source!I127, 2)+ROUND(Source!AE127*Source!I127, 2))), 2)</f>
        <v>0</v>
      </c>
      <c r="V327">
        <f>Source!Y127</f>
        <v>0</v>
      </c>
      <c r="W327">
        <f>IF(Source!BI127&lt;=1,H327, 0)</f>
        <v>0</v>
      </c>
      <c r="X327">
        <f>IF(Source!BI127=2,H327, 0)</f>
        <v>0</v>
      </c>
      <c r="Y327">
        <f>IF(Source!BI127=3,H327, 0)</f>
        <v>0</v>
      </c>
      <c r="Z327">
        <f>IF(Source!BI127=4,H327, 0)</f>
        <v>0</v>
      </c>
    </row>
    <row r="328" spans="1:26" ht="28.5" x14ac:dyDescent="0.2">
      <c r="A328" s="45" t="str">
        <f>Source!E128</f>
        <v>29,11</v>
      </c>
      <c r="B328" s="46" t="str">
        <f>Source!F128</f>
        <v>11.3.03.14</v>
      </c>
      <c r="C328" s="46" t="str">
        <f>Source!G128</f>
        <v>Заглушка торцевая для пластикового плинтуса левая</v>
      </c>
      <c r="D328" s="29" t="str">
        <f>Source!H128</f>
        <v>шт.</v>
      </c>
      <c r="E328" s="11">
        <f>Source!I128</f>
        <v>8</v>
      </c>
      <c r="F328" s="30">
        <f>Source!AL128+Source!AM128+Source!AO128</f>
        <v>0</v>
      </c>
      <c r="G328" s="44" t="s">
        <v>6</v>
      </c>
      <c r="H328" s="30">
        <f>ROUND(Source!AC128*Source!I128, 2)+ROUND(Source!AD128*Source!I128, 2)+ROUND(Source!AF128*Source!I128, 2)</f>
        <v>0</v>
      </c>
      <c r="I328" s="31"/>
      <c r="J328" s="31">
        <f>IF(Source!BC128&lt;&gt; 0, Source!BC128, 1)</f>
        <v>6.71</v>
      </c>
      <c r="K328" s="30">
        <f>Source!O128</f>
        <v>0</v>
      </c>
      <c r="L328" s="32"/>
      <c r="S328">
        <f>ROUND((Source!FX128/100)*((ROUND(Source!AF128*Source!I128, 2)+ROUND(Source!AE128*Source!I128, 2))), 2)</f>
        <v>0</v>
      </c>
      <c r="T328">
        <f>Source!X128</f>
        <v>0</v>
      </c>
      <c r="U328">
        <f>ROUND((Source!FY128/100)*((ROUND(Source!AF128*Source!I128, 2)+ROUND(Source!AE128*Source!I128, 2))), 2)</f>
        <v>0</v>
      </c>
      <c r="V328">
        <f>Source!Y128</f>
        <v>0</v>
      </c>
      <c r="W328">
        <f>IF(Source!BI128&lt;=1,H328, 0)</f>
        <v>0</v>
      </c>
      <c r="X328">
        <f>IF(Source!BI128=2,H328, 0)</f>
        <v>0</v>
      </c>
      <c r="Y328">
        <f>IF(Source!BI128=3,H328, 0)</f>
        <v>0</v>
      </c>
      <c r="Z328">
        <f>IF(Source!BI128=4,H328, 0)</f>
        <v>0</v>
      </c>
    </row>
    <row r="329" spans="1:26" ht="28.5" x14ac:dyDescent="0.2">
      <c r="A329" s="47" t="str">
        <f>Source!E129</f>
        <v>29,12</v>
      </c>
      <c r="B329" s="48" t="str">
        <f>Source!F129</f>
        <v>11.3.03.14</v>
      </c>
      <c r="C329" s="48" t="str">
        <f>Source!G129</f>
        <v>Заглушка торцевая для пластикового плинтуса правая</v>
      </c>
      <c r="D329" s="35" t="str">
        <f>Source!H129</f>
        <v>шт.</v>
      </c>
      <c r="E329" s="36">
        <f>Source!I129</f>
        <v>8</v>
      </c>
      <c r="F329" s="37">
        <f>Source!AL129+Source!AM129+Source!AO129</f>
        <v>0</v>
      </c>
      <c r="G329" s="42" t="s">
        <v>6</v>
      </c>
      <c r="H329" s="37">
        <f>ROUND(Source!AC129*Source!I129, 2)+ROUND(Source!AD129*Source!I129, 2)+ROUND(Source!AF129*Source!I129, 2)</f>
        <v>0</v>
      </c>
      <c r="I329" s="38"/>
      <c r="J329" s="38">
        <f>IF(Source!BC129&lt;&gt; 0, Source!BC129, 1)</f>
        <v>6.71</v>
      </c>
      <c r="K329" s="37">
        <f>Source!O129</f>
        <v>0</v>
      </c>
      <c r="L329" s="43"/>
      <c r="S329">
        <f>ROUND((Source!FX129/100)*((ROUND(Source!AF129*Source!I129, 2)+ROUND(Source!AE129*Source!I129, 2))), 2)</f>
        <v>0</v>
      </c>
      <c r="T329">
        <f>Source!X129</f>
        <v>0</v>
      </c>
      <c r="U329">
        <f>ROUND((Source!FY129/100)*((ROUND(Source!AF129*Source!I129, 2)+ROUND(Source!AE129*Source!I129, 2))), 2)</f>
        <v>0</v>
      </c>
      <c r="V329">
        <f>Source!Y129</f>
        <v>0</v>
      </c>
      <c r="W329">
        <f>IF(Source!BI129&lt;=1,H329, 0)</f>
        <v>0</v>
      </c>
      <c r="X329">
        <f>IF(Source!BI129=2,H329, 0)</f>
        <v>0</v>
      </c>
      <c r="Y329">
        <f>IF(Source!BI129=3,H329, 0)</f>
        <v>0</v>
      </c>
      <c r="Z329">
        <f>IF(Source!BI129=4,H329, 0)</f>
        <v>0</v>
      </c>
    </row>
    <row r="330" spans="1:26" ht="15" x14ac:dyDescent="0.25">
      <c r="G330" s="69">
        <f>H311+H312+H314+H315+H316+SUM(H318:H329)</f>
        <v>1751.97</v>
      </c>
      <c r="H330" s="69"/>
      <c r="J330" s="69">
        <f>K311+K312+K314+K315+K316+SUM(K318:K329)</f>
        <v>11759.000000000002</v>
      </c>
      <c r="K330" s="69"/>
      <c r="L330" s="40">
        <f>Source!U117</f>
        <v>9.9097799999999978</v>
      </c>
      <c r="O330" s="24">
        <f>G330</f>
        <v>1751.97</v>
      </c>
      <c r="P330" s="24">
        <f>J330</f>
        <v>11759.000000000002</v>
      </c>
      <c r="Q330" s="24">
        <f>L330</f>
        <v>9.9097799999999978</v>
      </c>
      <c r="W330">
        <f>IF(Source!BI117&lt;=1,H311+H312+H314+H315+H316, 0)</f>
        <v>333.46</v>
      </c>
      <c r="X330">
        <f>IF(Source!BI117=2,H311+H312+H314+H315+H316, 0)</f>
        <v>0</v>
      </c>
      <c r="Y330">
        <f>IF(Source!BI117=3,H311+H312+H314+H315+H316, 0)</f>
        <v>0</v>
      </c>
      <c r="Z330">
        <f>IF(Source!BI117=4,H311+H312+H314+H315+H316, 0)</f>
        <v>0</v>
      </c>
    </row>
    <row r="331" spans="1:26" ht="85.5" x14ac:dyDescent="0.2">
      <c r="A331" s="45" t="str">
        <f>Source!E130</f>
        <v>30</v>
      </c>
      <c r="B331" s="46" t="str">
        <f>Source!F130</f>
        <v>15-01-019-05</v>
      </c>
      <c r="C331" s="46" t="str">
        <f>Source!G130</f>
        <v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v>
      </c>
      <c r="D331" s="29" t="str">
        <f>Source!H130</f>
        <v>100 м2</v>
      </c>
      <c r="E331" s="11">
        <f>Source!I130</f>
        <v>5.3999999999999999E-2</v>
      </c>
      <c r="F331" s="30">
        <f>Source!AL130+Source!AM130+Source!AO130</f>
        <v>1500.7</v>
      </c>
      <c r="G331" s="31"/>
      <c r="H331" s="30"/>
      <c r="I331" s="31" t="str">
        <f>Source!BO130</f>
        <v/>
      </c>
      <c r="J331" s="31"/>
      <c r="K331" s="30"/>
      <c r="L331" s="32"/>
      <c r="S331">
        <f>ROUND((Source!FX130/100)*((ROUND(Source!AF130*Source!I130, 2)+ROUND(Source!AE130*Source!I130, 2))), 2)</f>
        <v>104.56</v>
      </c>
      <c r="T331">
        <f>Source!X130</f>
        <v>705.34</v>
      </c>
      <c r="U331">
        <f>ROUND((Source!FY130/100)*((ROUND(Source!AF130*Source!I130, 2)+ROUND(Source!AE130*Source!I130, 2))), 2)</f>
        <v>51.73</v>
      </c>
      <c r="V331">
        <f>Source!Y130</f>
        <v>348.96</v>
      </c>
    </row>
    <row r="332" spans="1:26" x14ac:dyDescent="0.2">
      <c r="C332" s="23" t="str">
        <f>"Объем: "&amp;Source!I130&amp;"=5,4/"&amp;"100"</f>
        <v>Объем: 0,054=5,4/100</v>
      </c>
    </row>
    <row r="333" spans="1:26" ht="14.25" x14ac:dyDescent="0.2">
      <c r="A333" s="45"/>
      <c r="B333" s="46"/>
      <c r="C333" s="46" t="s">
        <v>1083</v>
      </c>
      <c r="D333" s="29"/>
      <c r="E333" s="11"/>
      <c r="F333" s="30">
        <f>Source!AO130</f>
        <v>1465.77</v>
      </c>
      <c r="G333" s="31" t="str">
        <f>Source!DG130</f>
        <v>)*1,15)*1,2</v>
      </c>
      <c r="H333" s="30">
        <f>ROUND(Source!AF130*Source!I130, 2)</f>
        <v>109.23</v>
      </c>
      <c r="I333" s="31"/>
      <c r="J333" s="31">
        <f>IF(Source!BA130&lt;&gt; 0, Source!BA130, 1)</f>
        <v>6.71</v>
      </c>
      <c r="K333" s="30">
        <f>Source!S130</f>
        <v>732.93</v>
      </c>
      <c r="L333" s="32"/>
      <c r="R333">
        <f>H333</f>
        <v>109.23</v>
      </c>
    </row>
    <row r="334" spans="1:26" ht="14.25" x14ac:dyDescent="0.2">
      <c r="A334" s="45"/>
      <c r="B334" s="46"/>
      <c r="C334" s="46" t="s">
        <v>139</v>
      </c>
      <c r="D334" s="29"/>
      <c r="E334" s="11"/>
      <c r="F334" s="30">
        <f>Source!AM130</f>
        <v>31.75</v>
      </c>
      <c r="G334" s="31" t="str">
        <f>Source!DE130</f>
        <v>)*1,25)*1,2</v>
      </c>
      <c r="H334" s="30">
        <f>ROUND(Source!AD130*Source!I130, 2)</f>
        <v>2.57</v>
      </c>
      <c r="I334" s="31"/>
      <c r="J334" s="31">
        <f>IF(Source!BB130&lt;&gt; 0, Source!BB130, 1)</f>
        <v>6.71</v>
      </c>
      <c r="K334" s="30">
        <f>Source!Q130</f>
        <v>17.260000000000002</v>
      </c>
      <c r="L334" s="32"/>
    </row>
    <row r="335" spans="1:26" ht="14.25" x14ac:dyDescent="0.2">
      <c r="A335" s="45"/>
      <c r="B335" s="46"/>
      <c r="C335" s="46" t="s">
        <v>1084</v>
      </c>
      <c r="D335" s="29"/>
      <c r="E335" s="11"/>
      <c r="F335" s="30">
        <f>Source!AN130</f>
        <v>17.53</v>
      </c>
      <c r="G335" s="31" t="str">
        <f>Source!DF130</f>
        <v>)*1,25)*1,2</v>
      </c>
      <c r="H335" s="33">
        <f>ROUND(Source!AE130*Source!I130, 2)</f>
        <v>1.42</v>
      </c>
      <c r="I335" s="31"/>
      <c r="J335" s="31">
        <f>IF(Source!BS130&lt;&gt; 0, Source!BS130, 1)</f>
        <v>6.71</v>
      </c>
      <c r="K335" s="33">
        <f>Source!R130</f>
        <v>9.5299999999999994</v>
      </c>
      <c r="L335" s="32"/>
      <c r="R335">
        <f>H335</f>
        <v>1.42</v>
      </c>
    </row>
    <row r="336" spans="1:26" ht="14.25" x14ac:dyDescent="0.2">
      <c r="A336" s="45"/>
      <c r="B336" s="46"/>
      <c r="C336" s="46" t="s">
        <v>1090</v>
      </c>
      <c r="D336" s="29"/>
      <c r="E336" s="11"/>
      <c r="F336" s="30">
        <f>Source!AL130</f>
        <v>3.18</v>
      </c>
      <c r="G336" s="31" t="str">
        <f>Source!DD130</f>
        <v/>
      </c>
      <c r="H336" s="30">
        <f>ROUND(Source!AC130*Source!I130, 2)</f>
        <v>0.17</v>
      </c>
      <c r="I336" s="31"/>
      <c r="J336" s="31">
        <f>IF(Source!BC130&lt;&gt; 0, Source!BC130, 1)</f>
        <v>6.71</v>
      </c>
      <c r="K336" s="30">
        <f>Source!P130</f>
        <v>1.1499999999999999</v>
      </c>
      <c r="L336" s="32"/>
    </row>
    <row r="337" spans="1:26" ht="14.25" x14ac:dyDescent="0.2">
      <c r="A337" s="45"/>
      <c r="B337" s="46"/>
      <c r="C337" s="46" t="s">
        <v>1085</v>
      </c>
      <c r="D337" s="29" t="s">
        <v>1086</v>
      </c>
      <c r="E337" s="11">
        <f>Source!BZ130</f>
        <v>105</v>
      </c>
      <c r="F337" s="72" t="str">
        <f>CONCATENATE(" )", Source!DL130, Source!FT130, "=", Source!FX130)</f>
        <v xml:space="preserve"> )*0,9=94,5</v>
      </c>
      <c r="G337" s="73"/>
      <c r="H337" s="30">
        <f>SUM(S331:S344)</f>
        <v>104.56</v>
      </c>
      <c r="I337" s="34"/>
      <c r="J337" s="27">
        <f>Source!AT130</f>
        <v>95</v>
      </c>
      <c r="K337" s="30">
        <f>SUM(T331:T344)</f>
        <v>705.34</v>
      </c>
      <c r="L337" s="32"/>
    </row>
    <row r="338" spans="1:26" ht="14.25" x14ac:dyDescent="0.2">
      <c r="A338" s="45"/>
      <c r="B338" s="46"/>
      <c r="C338" s="46" t="s">
        <v>1087</v>
      </c>
      <c r="D338" s="29" t="s">
        <v>1086</v>
      </c>
      <c r="E338" s="11">
        <f>Source!CA130</f>
        <v>55</v>
      </c>
      <c r="F338" s="72" t="str">
        <f>CONCATENATE(" )", Source!DM130, Source!FU130, "=", Source!FY130)</f>
        <v xml:space="preserve"> )*0,85=46,75</v>
      </c>
      <c r="G338" s="73"/>
      <c r="H338" s="30">
        <f>SUM(U331:U344)</f>
        <v>51.73</v>
      </c>
      <c r="I338" s="34"/>
      <c r="J338" s="27">
        <f>Source!AU130</f>
        <v>47</v>
      </c>
      <c r="K338" s="30">
        <f>SUM(V331:V344)</f>
        <v>348.96</v>
      </c>
      <c r="L338" s="32"/>
    </row>
    <row r="339" spans="1:26" ht="14.25" x14ac:dyDescent="0.2">
      <c r="A339" s="45"/>
      <c r="B339" s="46"/>
      <c r="C339" s="46" t="s">
        <v>1088</v>
      </c>
      <c r="D339" s="29" t="s">
        <v>1089</v>
      </c>
      <c r="E339" s="11">
        <f>Source!AQ130</f>
        <v>159.66999999999999</v>
      </c>
      <c r="F339" s="30"/>
      <c r="G339" s="31" t="str">
        <f>Source!DI130</f>
        <v>)*1,15)*1,2</v>
      </c>
      <c r="H339" s="30"/>
      <c r="I339" s="31"/>
      <c r="J339" s="31"/>
      <c r="K339" s="30"/>
      <c r="L339" s="41">
        <f>Source!U130</f>
        <v>11.898608399999997</v>
      </c>
    </row>
    <row r="340" spans="1:26" ht="14.25" x14ac:dyDescent="0.2">
      <c r="A340" s="45" t="str">
        <f>Source!E131</f>
        <v>30,1</v>
      </c>
      <c r="B340" s="46" t="str">
        <f>Source!F131</f>
        <v>04.3.02.09</v>
      </c>
      <c r="C340" s="46" t="str">
        <f>Source!G131</f>
        <v>Смесь сухая для заделки швов</v>
      </c>
      <c r="D340" s="29" t="str">
        <f>Source!H131</f>
        <v>т</v>
      </c>
      <c r="E340" s="11">
        <f>Source!I131</f>
        <v>2.7000000000000001E-3</v>
      </c>
      <c r="F340" s="30">
        <f>Source!AL131+Source!AM131+Source!AO131</f>
        <v>0</v>
      </c>
      <c r="G340" s="44" t="s">
        <v>6</v>
      </c>
      <c r="H340" s="30">
        <f>ROUND(Source!AC131*Source!I131, 2)+ROUND(Source!AD131*Source!I131, 2)+ROUND(Source!AF131*Source!I131, 2)</f>
        <v>0</v>
      </c>
      <c r="I340" s="31"/>
      <c r="J340" s="31">
        <f>IF(Source!BC131&lt;&gt; 0, Source!BC131, 1)</f>
        <v>6.71</v>
      </c>
      <c r="K340" s="30">
        <f>Source!O131</f>
        <v>0</v>
      </c>
      <c r="L340" s="32"/>
      <c r="S340">
        <f>ROUND((Source!FX131/100)*((ROUND(Source!AF131*Source!I131, 2)+ROUND(Source!AE131*Source!I131, 2))), 2)</f>
        <v>0</v>
      </c>
      <c r="T340">
        <f>Source!X131</f>
        <v>0</v>
      </c>
      <c r="U340">
        <f>ROUND((Source!FY131/100)*((ROUND(Source!AF131*Source!I131, 2)+ROUND(Source!AE131*Source!I131, 2))), 2)</f>
        <v>0</v>
      </c>
      <c r="V340">
        <f>Source!Y131</f>
        <v>0</v>
      </c>
      <c r="W340">
        <f>IF(Source!BI131&lt;=1,H340, 0)</f>
        <v>0</v>
      </c>
      <c r="X340">
        <f>IF(Source!BI131=2,H340, 0)</f>
        <v>0</v>
      </c>
      <c r="Y340">
        <f>IF(Source!BI131=3,H340, 0)</f>
        <v>0</v>
      </c>
      <c r="Z340">
        <f>IF(Source!BI131=4,H340, 0)</f>
        <v>0</v>
      </c>
    </row>
    <row r="341" spans="1:26" ht="14.25" x14ac:dyDescent="0.2">
      <c r="A341" s="45" t="str">
        <f>Source!E132</f>
        <v>30,2</v>
      </c>
      <c r="B341" s="46" t="str">
        <f>Source!F132</f>
        <v>06.2.05.04</v>
      </c>
      <c r="C341" s="46" t="str">
        <f>Source!G132</f>
        <v>Плитки рядовые</v>
      </c>
      <c r="D341" s="29" t="str">
        <f>Source!H132</f>
        <v>м2</v>
      </c>
      <c r="E341" s="11">
        <f>Source!I132</f>
        <v>5.4</v>
      </c>
      <c r="F341" s="30">
        <f>Source!AL132+Source!AM132+Source!AO132</f>
        <v>0</v>
      </c>
      <c r="G341" s="44" t="s">
        <v>6</v>
      </c>
      <c r="H341" s="30">
        <f>ROUND(Source!AC132*Source!I132, 2)+ROUND(Source!AD132*Source!I132, 2)+ROUND(Source!AF132*Source!I132, 2)</f>
        <v>0</v>
      </c>
      <c r="I341" s="31"/>
      <c r="J341" s="31">
        <f>IF(Source!BC132&lt;&gt; 0, Source!BC132, 1)</f>
        <v>6.71</v>
      </c>
      <c r="K341" s="30">
        <f>Source!O132</f>
        <v>0</v>
      </c>
      <c r="L341" s="32"/>
      <c r="S341">
        <f>ROUND((Source!FX132/100)*((ROUND(Source!AF132*Source!I132, 2)+ROUND(Source!AE132*Source!I132, 2))), 2)</f>
        <v>0</v>
      </c>
      <c r="T341">
        <f>Source!X132</f>
        <v>0</v>
      </c>
      <c r="U341">
        <f>ROUND((Source!FY132/100)*((ROUND(Source!AF132*Source!I132, 2)+ROUND(Source!AE132*Source!I132, 2))), 2)</f>
        <v>0</v>
      </c>
      <c r="V341">
        <f>Source!Y132</f>
        <v>0</v>
      </c>
      <c r="W341">
        <f>IF(Source!BI132&lt;=1,H341, 0)</f>
        <v>0</v>
      </c>
      <c r="X341">
        <f>IF(Source!BI132=2,H341, 0)</f>
        <v>0</v>
      </c>
      <c r="Y341">
        <f>IF(Source!BI132=3,H341, 0)</f>
        <v>0</v>
      </c>
      <c r="Z341">
        <f>IF(Source!BI132=4,H341, 0)</f>
        <v>0</v>
      </c>
    </row>
    <row r="342" spans="1:26" ht="57" x14ac:dyDescent="0.2">
      <c r="A342" s="45" t="str">
        <f>Source!E133</f>
        <v>30,3</v>
      </c>
      <c r="B342" s="46" t="str">
        <f>Source!F133</f>
        <v>06.2.01.02-0016</v>
      </c>
      <c r="C342" s="46" t="str">
        <f>Source!G133</f>
        <v>Плитки керамические глазурованные для внутренней облицовки стен гладкие цветные с рисунком многоцветные без завала ((прим.)</v>
      </c>
      <c r="D342" s="29" t="str">
        <f>Source!H133</f>
        <v>м2</v>
      </c>
      <c r="E342" s="11">
        <f>Source!I133</f>
        <v>5.4</v>
      </c>
      <c r="F342" s="30">
        <f>Source!AL133+Source!AM133+Source!AO133</f>
        <v>136.62</v>
      </c>
      <c r="G342" s="44" t="s">
        <v>6</v>
      </c>
      <c r="H342" s="30">
        <f>ROUND(Source!AC133*Source!I133, 2)+ROUND(Source!AD133*Source!I133, 2)+ROUND(Source!AF133*Source!I133, 2)</f>
        <v>737.75</v>
      </c>
      <c r="I342" s="31"/>
      <c r="J342" s="31">
        <f>IF(Source!BC133&lt;&gt; 0, Source!BC133, 1)</f>
        <v>6.71</v>
      </c>
      <c r="K342" s="30">
        <f>Source!O133</f>
        <v>4950.29</v>
      </c>
      <c r="L342" s="32"/>
      <c r="S342">
        <f>ROUND((Source!FX133/100)*((ROUND(Source!AF133*Source!I133, 2)+ROUND(Source!AE133*Source!I133, 2))), 2)</f>
        <v>0</v>
      </c>
      <c r="T342">
        <f>Source!X133</f>
        <v>0</v>
      </c>
      <c r="U342">
        <f>ROUND((Source!FY133/100)*((ROUND(Source!AF133*Source!I133, 2)+ROUND(Source!AE133*Source!I133, 2))), 2)</f>
        <v>0</v>
      </c>
      <c r="V342">
        <f>Source!Y133</f>
        <v>0</v>
      </c>
      <c r="W342">
        <f>IF(Source!BI133&lt;=1,H342, 0)</f>
        <v>737.75</v>
      </c>
      <c r="X342">
        <f>IF(Source!BI133=2,H342, 0)</f>
        <v>0</v>
      </c>
      <c r="Y342">
        <f>IF(Source!BI133=3,H342, 0)</f>
        <v>0</v>
      </c>
      <c r="Z342">
        <f>IF(Source!BI133=4,H342, 0)</f>
        <v>0</v>
      </c>
    </row>
    <row r="343" spans="1:26" ht="28.5" x14ac:dyDescent="0.2">
      <c r="A343" s="45" t="str">
        <f>Source!E134</f>
        <v>30,4</v>
      </c>
      <c r="B343" s="46" t="str">
        <f>Source!F134</f>
        <v>14.1.06.02</v>
      </c>
      <c r="C343" s="46" t="str">
        <f>Source!G134</f>
        <v>Клей для облицовочных работ (сухая смесь)</v>
      </c>
      <c r="D343" s="29" t="str">
        <f>Source!H134</f>
        <v>т</v>
      </c>
      <c r="E343" s="11">
        <f>Source!I134</f>
        <v>2.0250000000000001E-2</v>
      </c>
      <c r="F343" s="30">
        <f>Source!AL134+Source!AM134+Source!AO134</f>
        <v>0</v>
      </c>
      <c r="G343" s="44" t="s">
        <v>6</v>
      </c>
      <c r="H343" s="30">
        <f>ROUND(Source!AC134*Source!I134, 2)+ROUND(Source!AD134*Source!I134, 2)+ROUND(Source!AF134*Source!I134, 2)</f>
        <v>0</v>
      </c>
      <c r="I343" s="31"/>
      <c r="J343" s="31">
        <f>IF(Source!BC134&lt;&gt; 0, Source!BC134, 1)</f>
        <v>6.71</v>
      </c>
      <c r="K343" s="30">
        <f>Source!O134</f>
        <v>0</v>
      </c>
      <c r="L343" s="32"/>
      <c r="S343">
        <f>ROUND((Source!FX134/100)*((ROUND(Source!AF134*Source!I134, 2)+ROUND(Source!AE134*Source!I134, 2))), 2)</f>
        <v>0</v>
      </c>
      <c r="T343">
        <f>Source!X134</f>
        <v>0</v>
      </c>
      <c r="U343">
        <f>ROUND((Source!FY134/100)*((ROUND(Source!AF134*Source!I134, 2)+ROUND(Source!AE134*Source!I134, 2))), 2)</f>
        <v>0</v>
      </c>
      <c r="V343">
        <f>Source!Y134</f>
        <v>0</v>
      </c>
      <c r="W343">
        <f>IF(Source!BI134&lt;=1,H343, 0)</f>
        <v>0</v>
      </c>
      <c r="X343">
        <f>IF(Source!BI134=2,H343, 0)</f>
        <v>0</v>
      </c>
      <c r="Y343">
        <f>IF(Source!BI134=3,H343, 0)</f>
        <v>0</v>
      </c>
      <c r="Z343">
        <f>IF(Source!BI134=4,H343, 0)</f>
        <v>0</v>
      </c>
    </row>
    <row r="344" spans="1:26" ht="42.75" x14ac:dyDescent="0.2">
      <c r="A344" s="47" t="str">
        <f>Source!E135</f>
        <v>30,5</v>
      </c>
      <c r="B344" s="48" t="str">
        <f>Source!F135</f>
        <v>14.1.06.02-0008</v>
      </c>
      <c r="C344" s="48" t="str">
        <f>Source!G135</f>
        <v>Клей для плитки Ветонит "Быстросхватывающийся клей для ремонтных работ"</v>
      </c>
      <c r="D344" s="35" t="str">
        <f>Source!H135</f>
        <v>т</v>
      </c>
      <c r="E344" s="36">
        <f>Source!I135</f>
        <v>2.0250000000000001E-2</v>
      </c>
      <c r="F344" s="37">
        <f>Source!AL135+Source!AM135+Source!AO135</f>
        <v>7340.57</v>
      </c>
      <c r="G344" s="42" t="s">
        <v>6</v>
      </c>
      <c r="H344" s="37">
        <f>ROUND(Source!AC135*Source!I135, 2)+ROUND(Source!AD135*Source!I135, 2)+ROUND(Source!AF135*Source!I135, 2)</f>
        <v>148.65</v>
      </c>
      <c r="I344" s="38"/>
      <c r="J344" s="38">
        <f>IF(Source!BC135&lt;&gt; 0, Source!BC135, 1)</f>
        <v>6.71</v>
      </c>
      <c r="K344" s="37">
        <f>Source!O135</f>
        <v>997.42</v>
      </c>
      <c r="L344" s="43"/>
      <c r="S344">
        <f>ROUND((Source!FX135/100)*((ROUND(Source!AF135*Source!I135, 2)+ROUND(Source!AE135*Source!I135, 2))), 2)</f>
        <v>0</v>
      </c>
      <c r="T344">
        <f>Source!X135</f>
        <v>0</v>
      </c>
      <c r="U344">
        <f>ROUND((Source!FY135/100)*((ROUND(Source!AF135*Source!I135, 2)+ROUND(Source!AE135*Source!I135, 2))), 2)</f>
        <v>0</v>
      </c>
      <c r="V344">
        <f>Source!Y135</f>
        <v>0</v>
      </c>
      <c r="W344">
        <f>IF(Source!BI135&lt;=1,H344, 0)</f>
        <v>148.65</v>
      </c>
      <c r="X344">
        <f>IF(Source!BI135=2,H344, 0)</f>
        <v>0</v>
      </c>
      <c r="Y344">
        <f>IF(Source!BI135=3,H344, 0)</f>
        <v>0</v>
      </c>
      <c r="Z344">
        <f>IF(Source!BI135=4,H344, 0)</f>
        <v>0</v>
      </c>
    </row>
    <row r="345" spans="1:26" ht="15" x14ac:dyDescent="0.25">
      <c r="G345" s="69">
        <f>H333+H334+H336+H337+H338+SUM(H340:H344)</f>
        <v>1154.6599999999999</v>
      </c>
      <c r="H345" s="69"/>
      <c r="J345" s="69">
        <f>K333+K334+K336+K337+K338+SUM(K340:K344)</f>
        <v>7753.35</v>
      </c>
      <c r="K345" s="69"/>
      <c r="L345" s="40">
        <f>Source!U130</f>
        <v>11.898608399999997</v>
      </c>
      <c r="O345" s="24">
        <f>G345</f>
        <v>1154.6599999999999</v>
      </c>
      <c r="P345" s="24">
        <f>J345</f>
        <v>7753.35</v>
      </c>
      <c r="Q345" s="24">
        <f>L345</f>
        <v>11.898608399999997</v>
      </c>
      <c r="W345">
        <f>IF(Source!BI130&lt;=1,H333+H334+H336+H337+H338, 0)</f>
        <v>268.26</v>
      </c>
      <c r="X345">
        <f>IF(Source!BI130=2,H333+H334+H336+H337+H338, 0)</f>
        <v>0</v>
      </c>
      <c r="Y345">
        <f>IF(Source!BI130=3,H333+H334+H336+H337+H338, 0)</f>
        <v>0</v>
      </c>
      <c r="Z345">
        <f>IF(Source!BI130=4,H333+H334+H336+H337+H338, 0)</f>
        <v>0</v>
      </c>
    </row>
    <row r="346" spans="1:26" ht="85.5" x14ac:dyDescent="0.2">
      <c r="A346" s="45" t="str">
        <f>Source!E136</f>
        <v>31</v>
      </c>
      <c r="B346" s="46" t="str">
        <f>Source!F136</f>
        <v>10-05-002-01 прим.</v>
      </c>
      <c r="C346" s="46" t="str">
        <f>Source!G136</f>
        <v>Устройство перегородок из гипсокартонных листов (ГКЛ) по системе «КНАУФ» с одинарным металлическим каркасом и двухслойной обшивкой с обеих сторон (С 112) глухих (короб)</v>
      </c>
      <c r="D346" s="29" t="str">
        <f>Source!H136</f>
        <v>100 м2</v>
      </c>
      <c r="E346" s="11">
        <f>Source!I136</f>
        <v>0.06</v>
      </c>
      <c r="F346" s="30">
        <f>Source!AL136+Source!AM136+Source!AO136</f>
        <v>2500.1</v>
      </c>
      <c r="G346" s="31"/>
      <c r="H346" s="30"/>
      <c r="I346" s="31" t="str">
        <f>Source!BO136</f>
        <v/>
      </c>
      <c r="J346" s="31"/>
      <c r="K346" s="30"/>
      <c r="L346" s="32"/>
      <c r="S346">
        <f>ROUND((Source!FX136/100)*((ROUND(Source!AF136*Source!I136, 2)+ROUND(Source!AE136*Source!I136, 2))), 2)</f>
        <v>105.28</v>
      </c>
      <c r="T346">
        <f>Source!X136</f>
        <v>705.08</v>
      </c>
      <c r="U346">
        <f>ROUND((Source!FY136/100)*((ROUND(Source!AF136*Source!I136, 2)+ROUND(Source!AE136*Source!I136, 2))), 2)</f>
        <v>53.08</v>
      </c>
      <c r="V346">
        <f>Source!Y136</f>
        <v>359.19</v>
      </c>
    </row>
    <row r="347" spans="1:26" x14ac:dyDescent="0.2">
      <c r="C347" s="23" t="str">
        <f>"Объем: "&amp;Source!I136&amp;"=6/"&amp;"100"</f>
        <v>Объем: 0,06=6/100</v>
      </c>
    </row>
    <row r="348" spans="1:26" ht="14.25" x14ac:dyDescent="0.2">
      <c r="A348" s="45"/>
      <c r="B348" s="46"/>
      <c r="C348" s="46" t="s">
        <v>1083</v>
      </c>
      <c r="D348" s="29"/>
      <c r="E348" s="11"/>
      <c r="F348" s="30">
        <f>Source!AO136</f>
        <v>1197.24</v>
      </c>
      <c r="G348" s="31" t="str">
        <f>Source!DG136</f>
        <v>)*1,15)*1,2</v>
      </c>
      <c r="H348" s="30">
        <f>ROUND(Source!AF136*Source!I136, 2)</f>
        <v>99.13</v>
      </c>
      <c r="I348" s="31"/>
      <c r="J348" s="31">
        <f>IF(Source!BA136&lt;&gt; 0, Source!BA136, 1)</f>
        <v>6.71</v>
      </c>
      <c r="K348" s="30">
        <f>Source!S136</f>
        <v>665.17</v>
      </c>
      <c r="L348" s="32"/>
      <c r="R348">
        <f>H348</f>
        <v>99.13</v>
      </c>
    </row>
    <row r="349" spans="1:26" ht="14.25" x14ac:dyDescent="0.2">
      <c r="A349" s="45"/>
      <c r="B349" s="46"/>
      <c r="C349" s="46" t="s">
        <v>139</v>
      </c>
      <c r="D349" s="29"/>
      <c r="E349" s="11"/>
      <c r="F349" s="30">
        <f>Source!AM136</f>
        <v>3.36</v>
      </c>
      <c r="G349" s="31" t="str">
        <f>Source!DE136</f>
        <v>)*1,25)*1,2</v>
      </c>
      <c r="H349" s="30">
        <f>ROUND(Source!AD136*Source!I136, 2)</f>
        <v>0.3</v>
      </c>
      <c r="I349" s="31"/>
      <c r="J349" s="31">
        <f>IF(Source!BB136&lt;&gt; 0, Source!BB136, 1)</f>
        <v>6.71</v>
      </c>
      <c r="K349" s="30">
        <f>Source!Q136</f>
        <v>2.0299999999999998</v>
      </c>
      <c r="L349" s="32"/>
    </row>
    <row r="350" spans="1:26" ht="14.25" x14ac:dyDescent="0.2">
      <c r="A350" s="45"/>
      <c r="B350" s="46"/>
      <c r="C350" s="46" t="s">
        <v>1090</v>
      </c>
      <c r="D350" s="29"/>
      <c r="E350" s="11"/>
      <c r="F350" s="30">
        <f>Source!AL136</f>
        <v>1299.5</v>
      </c>
      <c r="G350" s="31" t="str">
        <f>Source!DD136</f>
        <v/>
      </c>
      <c r="H350" s="30">
        <f>ROUND(Source!AC136*Source!I136, 2)</f>
        <v>77.97</v>
      </c>
      <c r="I350" s="31"/>
      <c r="J350" s="31">
        <f>IF(Source!BC136&lt;&gt; 0, Source!BC136, 1)</f>
        <v>6.71</v>
      </c>
      <c r="K350" s="30">
        <f>Source!P136</f>
        <v>523.17999999999995</v>
      </c>
      <c r="L350" s="32"/>
    </row>
    <row r="351" spans="1:26" ht="14.25" x14ac:dyDescent="0.2">
      <c r="A351" s="45"/>
      <c r="B351" s="46"/>
      <c r="C351" s="46" t="s">
        <v>1085</v>
      </c>
      <c r="D351" s="29" t="s">
        <v>1086</v>
      </c>
      <c r="E351" s="11">
        <f>Source!BZ136</f>
        <v>118</v>
      </c>
      <c r="F351" s="72" t="str">
        <f>CONCATENATE(" )", Source!DL136, Source!FT136, "=", Source!FX136)</f>
        <v xml:space="preserve"> )*0,9=106,2</v>
      </c>
      <c r="G351" s="73"/>
      <c r="H351" s="30">
        <f>SUM(S346:S361)</f>
        <v>105.28</v>
      </c>
      <c r="I351" s="34"/>
      <c r="J351" s="27">
        <f>Source!AT136</f>
        <v>106</v>
      </c>
      <c r="K351" s="30">
        <f>SUM(T346:T361)</f>
        <v>705.08</v>
      </c>
      <c r="L351" s="32"/>
    </row>
    <row r="352" spans="1:26" ht="14.25" x14ac:dyDescent="0.2">
      <c r="A352" s="45"/>
      <c r="B352" s="46"/>
      <c r="C352" s="46" t="s">
        <v>1087</v>
      </c>
      <c r="D352" s="29" t="s">
        <v>1086</v>
      </c>
      <c r="E352" s="11">
        <f>Source!CA136</f>
        <v>63</v>
      </c>
      <c r="F352" s="72" t="str">
        <f>CONCATENATE(" )", Source!DM136, Source!FU136, "=", Source!FY136)</f>
        <v xml:space="preserve"> )*0,85=53,55</v>
      </c>
      <c r="G352" s="73"/>
      <c r="H352" s="30">
        <f>SUM(U346:U361)</f>
        <v>53.08</v>
      </c>
      <c r="I352" s="34"/>
      <c r="J352" s="27">
        <f>Source!AU136</f>
        <v>54</v>
      </c>
      <c r="K352" s="30">
        <f>SUM(V346:V361)</f>
        <v>359.19</v>
      </c>
      <c r="L352" s="32"/>
    </row>
    <row r="353" spans="1:26" ht="14.25" x14ac:dyDescent="0.2">
      <c r="A353" s="45"/>
      <c r="B353" s="46"/>
      <c r="C353" s="46" t="s">
        <v>1088</v>
      </c>
      <c r="D353" s="29" t="s">
        <v>1089</v>
      </c>
      <c r="E353" s="11">
        <f>Source!AQ136</f>
        <v>132</v>
      </c>
      <c r="F353" s="30"/>
      <c r="G353" s="31" t="str">
        <f>Source!DI136</f>
        <v>)*1,15)*1,2</v>
      </c>
      <c r="H353" s="30"/>
      <c r="I353" s="31"/>
      <c r="J353" s="31"/>
      <c r="K353" s="30"/>
      <c r="L353" s="41">
        <f>Source!U136</f>
        <v>10.929599999999997</v>
      </c>
    </row>
    <row r="354" spans="1:26" ht="14.25" x14ac:dyDescent="0.2">
      <c r="A354" s="45" t="str">
        <f>Source!E137</f>
        <v>31,1</v>
      </c>
      <c r="B354" s="46" t="str">
        <f>Source!F137</f>
        <v>01.6.01.02</v>
      </c>
      <c r="C354" s="46" t="str">
        <f>Source!G137</f>
        <v>Листы гипсокартонные</v>
      </c>
      <c r="D354" s="29" t="str">
        <f>Source!H137</f>
        <v>м2</v>
      </c>
      <c r="E354" s="11">
        <f>Source!I137</f>
        <v>25.26</v>
      </c>
      <c r="F354" s="30">
        <f>Source!AL137+Source!AM137+Source!AO137</f>
        <v>0</v>
      </c>
      <c r="G354" s="44" t="s">
        <v>6</v>
      </c>
      <c r="H354" s="30">
        <f>ROUND(Source!AC137*Source!I137, 2)+ROUND(Source!AD137*Source!I137, 2)+ROUND(Source!AF137*Source!I137, 2)</f>
        <v>0</v>
      </c>
      <c r="I354" s="31"/>
      <c r="J354" s="31">
        <f>IF(Source!BC137&lt;&gt; 0, Source!BC137, 1)</f>
        <v>6.71</v>
      </c>
      <c r="K354" s="30">
        <f>Source!O137</f>
        <v>0</v>
      </c>
      <c r="L354" s="32"/>
      <c r="S354">
        <f>ROUND((Source!FX137/100)*((ROUND(Source!AF137*Source!I137, 2)+ROUND(Source!AE137*Source!I137, 2))), 2)</f>
        <v>0</v>
      </c>
      <c r="T354">
        <f>Source!X137</f>
        <v>0</v>
      </c>
      <c r="U354">
        <f>ROUND((Source!FY137/100)*((ROUND(Source!AF137*Source!I137, 2)+ROUND(Source!AE137*Source!I137, 2))), 2)</f>
        <v>0</v>
      </c>
      <c r="V354">
        <f>Source!Y137</f>
        <v>0</v>
      </c>
      <c r="W354">
        <f>IF(Source!BI137&lt;=1,H354, 0)</f>
        <v>0</v>
      </c>
      <c r="X354">
        <f>IF(Source!BI137=2,H354, 0)</f>
        <v>0</v>
      </c>
      <c r="Y354">
        <f>IF(Source!BI137=3,H354, 0)</f>
        <v>0</v>
      </c>
      <c r="Z354">
        <f>IF(Source!BI137=4,H354, 0)</f>
        <v>0</v>
      </c>
    </row>
    <row r="355" spans="1:26" ht="28.5" x14ac:dyDescent="0.2">
      <c r="A355" s="45" t="str">
        <f>Source!E138</f>
        <v>31,2</v>
      </c>
      <c r="B355" s="46" t="str">
        <f>Source!F138</f>
        <v>01.6.01.02-0008</v>
      </c>
      <c r="C355" s="46" t="str">
        <f>Source!G138</f>
        <v>Листы гипсокартонные ГКЛВ 12,5 мм</v>
      </c>
      <c r="D355" s="29" t="str">
        <f>Source!H138</f>
        <v>м2</v>
      </c>
      <c r="E355" s="11">
        <f>Source!I138</f>
        <v>25.26</v>
      </c>
      <c r="F355" s="30">
        <f>Source!AL138+Source!AM138+Source!AO138</f>
        <v>20.47</v>
      </c>
      <c r="G355" s="44" t="s">
        <v>6</v>
      </c>
      <c r="H355" s="30">
        <f>ROUND(Source!AC138*Source!I138, 2)+ROUND(Source!AD138*Source!I138, 2)+ROUND(Source!AF138*Source!I138, 2)</f>
        <v>517.07000000000005</v>
      </c>
      <c r="I355" s="31"/>
      <c r="J355" s="31">
        <f>IF(Source!BC138&lt;&gt; 0, Source!BC138, 1)</f>
        <v>6.71</v>
      </c>
      <c r="K355" s="30">
        <f>Source!O138</f>
        <v>3469.55</v>
      </c>
      <c r="L355" s="32"/>
      <c r="S355">
        <f>ROUND((Source!FX138/100)*((ROUND(Source!AF138*Source!I138, 2)+ROUND(Source!AE138*Source!I138, 2))), 2)</f>
        <v>0</v>
      </c>
      <c r="T355">
        <f>Source!X138</f>
        <v>0</v>
      </c>
      <c r="U355">
        <f>ROUND((Source!FY138/100)*((ROUND(Source!AF138*Source!I138, 2)+ROUND(Source!AE138*Source!I138, 2))), 2)</f>
        <v>0</v>
      </c>
      <c r="V355">
        <f>Source!Y138</f>
        <v>0</v>
      </c>
      <c r="W355">
        <f>IF(Source!BI138&lt;=1,H355, 0)</f>
        <v>517.07000000000005</v>
      </c>
      <c r="X355">
        <f>IF(Source!BI138=2,H355, 0)</f>
        <v>0</v>
      </c>
      <c r="Y355">
        <f>IF(Source!BI138=3,H355, 0)</f>
        <v>0</v>
      </c>
      <c r="Z355">
        <f>IF(Source!BI138=4,H355, 0)</f>
        <v>0</v>
      </c>
    </row>
    <row r="356" spans="1:26" ht="42.75" x14ac:dyDescent="0.2">
      <c r="A356" s="45" t="str">
        <f>Source!E139</f>
        <v>31,3</v>
      </c>
      <c r="B356" s="46" t="str">
        <f>Source!F139</f>
        <v>01.7.06.01-0042</v>
      </c>
      <c r="C356" s="46" t="str">
        <f>Source!G139</f>
        <v>Лента эластичная самоклеящаяся для профилей направляющих «Дихтунгсбанд» 50/30000 мм</v>
      </c>
      <c r="D356" s="29" t="str">
        <f>Source!H139</f>
        <v>м</v>
      </c>
      <c r="E356" s="11">
        <f>Source!I139</f>
        <v>7.56</v>
      </c>
      <c r="F356" s="30">
        <f>Source!AL139+Source!AM139+Source!AO139</f>
        <v>0.6</v>
      </c>
      <c r="G356" s="44" t="s">
        <v>6</v>
      </c>
      <c r="H356" s="30">
        <f>ROUND(Source!AC139*Source!I139, 2)+ROUND(Source!AD139*Source!I139, 2)+ROUND(Source!AF139*Source!I139, 2)</f>
        <v>4.54</v>
      </c>
      <c r="I356" s="31"/>
      <c r="J356" s="31">
        <f>IF(Source!BC139&lt;&gt; 0, Source!BC139, 1)</f>
        <v>6.71</v>
      </c>
      <c r="K356" s="30">
        <f>Source!O139</f>
        <v>30.44</v>
      </c>
      <c r="L356" s="32"/>
      <c r="S356">
        <f>ROUND((Source!FX139/100)*((ROUND(Source!AF139*Source!I139, 2)+ROUND(Source!AE139*Source!I139, 2))), 2)</f>
        <v>0</v>
      </c>
      <c r="T356">
        <f>Source!X139</f>
        <v>0</v>
      </c>
      <c r="U356">
        <f>ROUND((Source!FY139/100)*((ROUND(Source!AF139*Source!I139, 2)+ROUND(Source!AE139*Source!I139, 2))), 2)</f>
        <v>0</v>
      </c>
      <c r="V356">
        <f>Source!Y139</f>
        <v>0</v>
      </c>
      <c r="W356">
        <f>IF(Source!BI139&lt;=1,H356, 0)</f>
        <v>4.54</v>
      </c>
      <c r="X356">
        <f>IF(Source!BI139=2,H356, 0)</f>
        <v>0</v>
      </c>
      <c r="Y356">
        <f>IF(Source!BI139=3,H356, 0)</f>
        <v>0</v>
      </c>
      <c r="Z356">
        <f>IF(Source!BI139=4,H356, 0)</f>
        <v>0</v>
      </c>
    </row>
    <row r="357" spans="1:26" ht="28.5" x14ac:dyDescent="0.2">
      <c r="A357" s="45" t="str">
        <f>Source!E140</f>
        <v>31,4</v>
      </c>
      <c r="B357" s="46" t="str">
        <f>Source!F140</f>
        <v>01.7.06.11</v>
      </c>
      <c r="C357" s="46" t="str">
        <f>Source!G140</f>
        <v>Лента уплотнительная типа Дихтунгсбанд</v>
      </c>
      <c r="D357" s="29" t="str">
        <f>Source!H140</f>
        <v>м</v>
      </c>
      <c r="E357" s="11">
        <f>Source!I140</f>
        <v>7.56</v>
      </c>
      <c r="F357" s="30">
        <f>Source!AL140+Source!AM140+Source!AO140</f>
        <v>0</v>
      </c>
      <c r="G357" s="44" t="s">
        <v>6</v>
      </c>
      <c r="H357" s="30">
        <f>ROUND(Source!AC140*Source!I140, 2)+ROUND(Source!AD140*Source!I140, 2)+ROUND(Source!AF140*Source!I140, 2)</f>
        <v>0</v>
      </c>
      <c r="I357" s="31"/>
      <c r="J357" s="31">
        <f>IF(Source!BC140&lt;&gt; 0, Source!BC140, 1)</f>
        <v>6.71</v>
      </c>
      <c r="K357" s="30">
        <f>Source!O140</f>
        <v>0</v>
      </c>
      <c r="L357" s="32"/>
      <c r="S357">
        <f>ROUND((Source!FX140/100)*((ROUND(Source!AF140*Source!I140, 2)+ROUND(Source!AE140*Source!I140, 2))), 2)</f>
        <v>0</v>
      </c>
      <c r="T357">
        <f>Source!X140</f>
        <v>0</v>
      </c>
      <c r="U357">
        <f>ROUND((Source!FY140/100)*((ROUND(Source!AF140*Source!I140, 2)+ROUND(Source!AE140*Source!I140, 2))), 2)</f>
        <v>0</v>
      </c>
      <c r="V357">
        <f>Source!Y140</f>
        <v>0</v>
      </c>
      <c r="W357">
        <f>IF(Source!BI140&lt;=1,H357, 0)</f>
        <v>0</v>
      </c>
      <c r="X357">
        <f>IF(Source!BI140=2,H357, 0)</f>
        <v>0</v>
      </c>
      <c r="Y357">
        <f>IF(Source!BI140=3,H357, 0)</f>
        <v>0</v>
      </c>
      <c r="Z357">
        <f>IF(Source!BI140=4,H357, 0)</f>
        <v>0</v>
      </c>
    </row>
    <row r="358" spans="1:26" ht="14.25" x14ac:dyDescent="0.2">
      <c r="A358" s="45" t="str">
        <f>Source!E141</f>
        <v>31,5</v>
      </c>
      <c r="B358" s="46" t="str">
        <f>Source!F141</f>
        <v>07.2.06.03</v>
      </c>
      <c r="C358" s="46" t="str">
        <f>Source!G141</f>
        <v>Профиль направляющий</v>
      </c>
      <c r="D358" s="29" t="str">
        <f>Source!H141</f>
        <v>м</v>
      </c>
      <c r="E358" s="11">
        <f>Source!I141</f>
        <v>4.5599999999999996</v>
      </c>
      <c r="F358" s="30">
        <f>Source!AL141+Source!AM141+Source!AO141</f>
        <v>0</v>
      </c>
      <c r="G358" s="44" t="s">
        <v>6</v>
      </c>
      <c r="H358" s="30">
        <f>ROUND(Source!AC141*Source!I141, 2)+ROUND(Source!AD141*Source!I141, 2)+ROUND(Source!AF141*Source!I141, 2)</f>
        <v>0</v>
      </c>
      <c r="I358" s="31"/>
      <c r="J358" s="31">
        <f>IF(Source!BC141&lt;&gt; 0, Source!BC141, 1)</f>
        <v>6.71</v>
      </c>
      <c r="K358" s="30">
        <f>Source!O141</f>
        <v>0</v>
      </c>
      <c r="L358" s="32"/>
      <c r="S358">
        <f>ROUND((Source!FX141/100)*((ROUND(Source!AF141*Source!I141, 2)+ROUND(Source!AE141*Source!I141, 2))), 2)</f>
        <v>0</v>
      </c>
      <c r="T358">
        <f>Source!X141</f>
        <v>0</v>
      </c>
      <c r="U358">
        <f>ROUND((Source!FY141/100)*((ROUND(Source!AF141*Source!I141, 2)+ROUND(Source!AE141*Source!I141, 2))), 2)</f>
        <v>0</v>
      </c>
      <c r="V358">
        <f>Source!Y141</f>
        <v>0</v>
      </c>
      <c r="W358">
        <f>IF(Source!BI141&lt;=1,H358, 0)</f>
        <v>0</v>
      </c>
      <c r="X358">
        <f>IF(Source!BI141=2,H358, 0)</f>
        <v>0</v>
      </c>
      <c r="Y358">
        <f>IF(Source!BI141=3,H358, 0)</f>
        <v>0</v>
      </c>
      <c r="Z358">
        <f>IF(Source!BI141=4,H358, 0)</f>
        <v>0</v>
      </c>
    </row>
    <row r="359" spans="1:26" ht="28.5" x14ac:dyDescent="0.2">
      <c r="A359" s="45" t="str">
        <f>Source!E142</f>
        <v>31,6</v>
      </c>
      <c r="B359" s="46" t="str">
        <f>Source!F142</f>
        <v>07.2.06.03-0112</v>
      </c>
      <c r="C359" s="46" t="str">
        <f>Source!G142</f>
        <v>Профиль направляющий ПН-2 50</v>
      </c>
      <c r="D359" s="29" t="str">
        <f>Source!H142</f>
        <v>м</v>
      </c>
      <c r="E359" s="11">
        <f>Source!I142</f>
        <v>4.5599999999999996</v>
      </c>
      <c r="F359" s="30">
        <f>Source!AL142+Source!AM142+Source!AO142</f>
        <v>6.16</v>
      </c>
      <c r="G359" s="44" t="s">
        <v>6</v>
      </c>
      <c r="H359" s="30">
        <f>ROUND(Source!AC142*Source!I142, 2)+ROUND(Source!AD142*Source!I142, 2)+ROUND(Source!AF142*Source!I142, 2)</f>
        <v>28.09</v>
      </c>
      <c r="I359" s="31"/>
      <c r="J359" s="31">
        <f>IF(Source!BC142&lt;&gt; 0, Source!BC142, 1)</f>
        <v>6.71</v>
      </c>
      <c r="K359" s="30">
        <f>Source!O142</f>
        <v>188.48</v>
      </c>
      <c r="L359" s="32"/>
      <c r="S359">
        <f>ROUND((Source!FX142/100)*((ROUND(Source!AF142*Source!I142, 2)+ROUND(Source!AE142*Source!I142, 2))), 2)</f>
        <v>0</v>
      </c>
      <c r="T359">
        <f>Source!X142</f>
        <v>0</v>
      </c>
      <c r="U359">
        <f>ROUND((Source!FY142/100)*((ROUND(Source!AF142*Source!I142, 2)+ROUND(Source!AE142*Source!I142, 2))), 2)</f>
        <v>0</v>
      </c>
      <c r="V359">
        <f>Source!Y142</f>
        <v>0</v>
      </c>
      <c r="W359">
        <f>IF(Source!BI142&lt;=1,H359, 0)</f>
        <v>28.09</v>
      </c>
      <c r="X359">
        <f>IF(Source!BI142=2,H359, 0)</f>
        <v>0</v>
      </c>
      <c r="Y359">
        <f>IF(Source!BI142=3,H359, 0)</f>
        <v>0</v>
      </c>
      <c r="Z359">
        <f>IF(Source!BI142=4,H359, 0)</f>
        <v>0</v>
      </c>
    </row>
    <row r="360" spans="1:26" ht="28.5" x14ac:dyDescent="0.2">
      <c r="A360" s="45" t="str">
        <f>Source!E143</f>
        <v>31,7</v>
      </c>
      <c r="B360" s="46" t="str">
        <f>Source!F143</f>
        <v>07.2.06.03-0196</v>
      </c>
      <c r="C360" s="46" t="str">
        <f>Source!G143</f>
        <v>Профиль стоечный ПС-3 65</v>
      </c>
      <c r="D360" s="29" t="str">
        <f>Source!H143</f>
        <v>м</v>
      </c>
      <c r="E360" s="11">
        <f>Source!I143</f>
        <v>12.24</v>
      </c>
      <c r="F360" s="30">
        <f>Source!AL143+Source!AM143+Source!AO143</f>
        <v>5.03</v>
      </c>
      <c r="G360" s="44" t="s">
        <v>6</v>
      </c>
      <c r="H360" s="30">
        <f>ROUND(Source!AC143*Source!I143, 2)+ROUND(Source!AD143*Source!I143, 2)+ROUND(Source!AF143*Source!I143, 2)</f>
        <v>61.57</v>
      </c>
      <c r="I360" s="31"/>
      <c r="J360" s="31">
        <f>IF(Source!BC143&lt;&gt; 0, Source!BC143, 1)</f>
        <v>6.71</v>
      </c>
      <c r="K360" s="30">
        <f>Source!O143</f>
        <v>413.12</v>
      </c>
      <c r="L360" s="32"/>
      <c r="S360">
        <f>ROUND((Source!FX143/100)*((ROUND(Source!AF143*Source!I143, 2)+ROUND(Source!AE143*Source!I143, 2))), 2)</f>
        <v>0</v>
      </c>
      <c r="T360">
        <f>Source!X143</f>
        <v>0</v>
      </c>
      <c r="U360">
        <f>ROUND((Source!FY143/100)*((ROUND(Source!AF143*Source!I143, 2)+ROUND(Source!AE143*Source!I143, 2))), 2)</f>
        <v>0</v>
      </c>
      <c r="V360">
        <f>Source!Y143</f>
        <v>0</v>
      </c>
      <c r="W360">
        <f>IF(Source!BI143&lt;=1,H360, 0)</f>
        <v>61.57</v>
      </c>
      <c r="X360">
        <f>IF(Source!BI143=2,H360, 0)</f>
        <v>0</v>
      </c>
      <c r="Y360">
        <f>IF(Source!BI143=3,H360, 0)</f>
        <v>0</v>
      </c>
      <c r="Z360">
        <f>IF(Source!BI143=4,H360, 0)</f>
        <v>0</v>
      </c>
    </row>
    <row r="361" spans="1:26" ht="14.25" x14ac:dyDescent="0.2">
      <c r="A361" s="47" t="str">
        <f>Source!E144</f>
        <v>31,8</v>
      </c>
      <c r="B361" s="48" t="str">
        <f>Source!F144</f>
        <v>07.2.06.03</v>
      </c>
      <c r="C361" s="48" t="str">
        <f>Source!G144</f>
        <v>Профиль стоечный</v>
      </c>
      <c r="D361" s="35" t="str">
        <f>Source!H144</f>
        <v>м</v>
      </c>
      <c r="E361" s="36">
        <f>Source!I144</f>
        <v>12.24</v>
      </c>
      <c r="F361" s="37">
        <f>Source!AL144+Source!AM144+Source!AO144</f>
        <v>0</v>
      </c>
      <c r="G361" s="42" t="s">
        <v>6</v>
      </c>
      <c r="H361" s="37">
        <f>ROUND(Source!AC144*Source!I144, 2)+ROUND(Source!AD144*Source!I144, 2)+ROUND(Source!AF144*Source!I144, 2)</f>
        <v>0</v>
      </c>
      <c r="I361" s="38"/>
      <c r="J361" s="38">
        <f>IF(Source!BC144&lt;&gt; 0, Source!BC144, 1)</f>
        <v>6.71</v>
      </c>
      <c r="K361" s="37">
        <f>Source!O144</f>
        <v>0</v>
      </c>
      <c r="L361" s="43"/>
      <c r="S361">
        <f>ROUND((Source!FX144/100)*((ROUND(Source!AF144*Source!I144, 2)+ROUND(Source!AE144*Source!I144, 2))), 2)</f>
        <v>0</v>
      </c>
      <c r="T361">
        <f>Source!X144</f>
        <v>0</v>
      </c>
      <c r="U361">
        <f>ROUND((Source!FY144/100)*((ROUND(Source!AF144*Source!I144, 2)+ROUND(Source!AE144*Source!I144, 2))), 2)</f>
        <v>0</v>
      </c>
      <c r="V361">
        <f>Source!Y144</f>
        <v>0</v>
      </c>
      <c r="W361">
        <f>IF(Source!BI144&lt;=1,H361, 0)</f>
        <v>0</v>
      </c>
      <c r="X361">
        <f>IF(Source!BI144=2,H361, 0)</f>
        <v>0</v>
      </c>
      <c r="Y361">
        <f>IF(Source!BI144=3,H361, 0)</f>
        <v>0</v>
      </c>
      <c r="Z361">
        <f>IF(Source!BI144=4,H361, 0)</f>
        <v>0</v>
      </c>
    </row>
    <row r="362" spans="1:26" ht="15" x14ac:dyDescent="0.25">
      <c r="G362" s="69">
        <f>H348+H349+H350+H351+H352+SUM(H354:H361)</f>
        <v>947.03</v>
      </c>
      <c r="H362" s="69"/>
      <c r="J362" s="69">
        <f>K348+K349+K350+K351+K352+SUM(K354:K361)</f>
        <v>6356.24</v>
      </c>
      <c r="K362" s="69"/>
      <c r="L362" s="40">
        <f>Source!U136</f>
        <v>10.929599999999997</v>
      </c>
      <c r="O362" s="24">
        <f>G362</f>
        <v>947.03</v>
      </c>
      <c r="P362" s="24">
        <f>J362</f>
        <v>6356.24</v>
      </c>
      <c r="Q362" s="24">
        <f>L362</f>
        <v>10.929599999999997</v>
      </c>
      <c r="W362">
        <f>IF(Source!BI136&lt;=1,H348+H349+H350+H351+H352, 0)</f>
        <v>335.75999999999993</v>
      </c>
      <c r="X362">
        <f>IF(Source!BI136=2,H348+H349+H350+H351+H352, 0)</f>
        <v>0</v>
      </c>
      <c r="Y362">
        <f>IF(Source!BI136=3,H348+H349+H350+H351+H352, 0)</f>
        <v>0</v>
      </c>
      <c r="Z362">
        <f>IF(Source!BI136=4,H348+H349+H350+H351+H352, 0)</f>
        <v>0</v>
      </c>
    </row>
    <row r="363" spans="1:26" ht="42.75" x14ac:dyDescent="0.2">
      <c r="A363" s="45" t="str">
        <f>Source!E145</f>
        <v>32</v>
      </c>
      <c r="B363" s="46" t="str">
        <f>Source!F145</f>
        <v>62-33-2</v>
      </c>
      <c r="C363" s="46" t="str">
        <f>Source!G145</f>
        <v>Окраска масляными составами ранее окрашенных поверхностей радиаторов и ребристых труб отопления за 2 раза</v>
      </c>
      <c r="D363" s="29" t="str">
        <f>Source!H145</f>
        <v>100 м2</v>
      </c>
      <c r="E363" s="11">
        <f>Source!I145</f>
        <v>9.1700000000000004E-2</v>
      </c>
      <c r="F363" s="30">
        <f>Source!AL145+Source!AM145+Source!AO145</f>
        <v>729.71</v>
      </c>
      <c r="G363" s="31"/>
      <c r="H363" s="30"/>
      <c r="I363" s="31" t="str">
        <f>Source!BO145</f>
        <v/>
      </c>
      <c r="J363" s="31"/>
      <c r="K363" s="30"/>
      <c r="L363" s="32"/>
      <c r="S363">
        <f>ROUND((Source!FX145/100)*((ROUND(Source!AF145*Source!I145, 2)+ROUND(Source!AE145*Source!I145, 2))), 2)</f>
        <v>42.29</v>
      </c>
      <c r="T363">
        <f>Source!X145</f>
        <v>283.74</v>
      </c>
      <c r="U363">
        <f>ROUND((Source!FY145/100)*((ROUND(Source!AF145*Source!I145, 2)+ROUND(Source!AE145*Source!I145, 2))), 2)</f>
        <v>26.43</v>
      </c>
      <c r="V363">
        <f>Source!Y145</f>
        <v>177.34</v>
      </c>
    </row>
    <row r="364" spans="1:26" x14ac:dyDescent="0.2">
      <c r="C364" s="23" t="str">
        <f>"Объем: "&amp;Source!I145&amp;"=9,17/"&amp;"100"</f>
        <v>Объем: 0,0917=9,17/100</v>
      </c>
    </row>
    <row r="365" spans="1:26" ht="14.25" x14ac:dyDescent="0.2">
      <c r="A365" s="45"/>
      <c r="B365" s="46"/>
      <c r="C365" s="46" t="s">
        <v>1083</v>
      </c>
      <c r="D365" s="29"/>
      <c r="E365" s="11"/>
      <c r="F365" s="30">
        <f>Source!AO145</f>
        <v>576.32000000000005</v>
      </c>
      <c r="G365" s="31" t="str">
        <f>Source!DG145</f>
        <v/>
      </c>
      <c r="H365" s="30">
        <f>ROUND(Source!AF145*Source!I145, 2)</f>
        <v>52.85</v>
      </c>
      <c r="I365" s="31"/>
      <c r="J365" s="31">
        <f>IF(Source!BA145&lt;&gt; 0, Source!BA145, 1)</f>
        <v>6.71</v>
      </c>
      <c r="K365" s="30">
        <f>Source!S145</f>
        <v>354.61</v>
      </c>
      <c r="L365" s="32"/>
      <c r="R365">
        <f>H365</f>
        <v>52.85</v>
      </c>
    </row>
    <row r="366" spans="1:26" ht="14.25" x14ac:dyDescent="0.2">
      <c r="A366" s="45"/>
      <c r="B366" s="46"/>
      <c r="C366" s="46" t="s">
        <v>139</v>
      </c>
      <c r="D366" s="29"/>
      <c r="E366" s="11"/>
      <c r="F366" s="30">
        <f>Source!AM145</f>
        <v>0.66</v>
      </c>
      <c r="G366" s="31" t="str">
        <f>Source!DE145</f>
        <v/>
      </c>
      <c r="H366" s="30">
        <f>ROUND(Source!AD145*Source!I145, 2)</f>
        <v>0.06</v>
      </c>
      <c r="I366" s="31"/>
      <c r="J366" s="31">
        <f>IF(Source!BB145&lt;&gt; 0, Source!BB145, 1)</f>
        <v>6.71</v>
      </c>
      <c r="K366" s="30">
        <f>Source!Q145</f>
        <v>0.41</v>
      </c>
      <c r="L366" s="32"/>
    </row>
    <row r="367" spans="1:26" ht="14.25" x14ac:dyDescent="0.2">
      <c r="A367" s="45"/>
      <c r="B367" s="46"/>
      <c r="C367" s="46" t="s">
        <v>1084</v>
      </c>
      <c r="D367" s="29"/>
      <c r="E367" s="11"/>
      <c r="F367" s="30">
        <f>Source!AN145</f>
        <v>0.12</v>
      </c>
      <c r="G367" s="31" t="str">
        <f>Source!DF145</f>
        <v/>
      </c>
      <c r="H367" s="33">
        <f>ROUND(Source!AE145*Source!I145, 2)</f>
        <v>0.01</v>
      </c>
      <c r="I367" s="31"/>
      <c r="J367" s="31">
        <f>IF(Source!BS145&lt;&gt; 0, Source!BS145, 1)</f>
        <v>6.71</v>
      </c>
      <c r="K367" s="33">
        <f>Source!R145</f>
        <v>7.0000000000000007E-2</v>
      </c>
      <c r="L367" s="32"/>
      <c r="R367">
        <f>H367</f>
        <v>0.01</v>
      </c>
    </row>
    <row r="368" spans="1:26" ht="14.25" x14ac:dyDescent="0.2">
      <c r="A368" s="45"/>
      <c r="B368" s="46"/>
      <c r="C368" s="46" t="s">
        <v>1090</v>
      </c>
      <c r="D368" s="29"/>
      <c r="E368" s="11"/>
      <c r="F368" s="30">
        <f>Source!AL145</f>
        <v>152.72999999999999</v>
      </c>
      <c r="G368" s="31" t="str">
        <f>Source!DD145</f>
        <v/>
      </c>
      <c r="H368" s="30">
        <f>ROUND(Source!AC145*Source!I145, 2)</f>
        <v>14.01</v>
      </c>
      <c r="I368" s="31"/>
      <c r="J368" s="31">
        <f>IF(Source!BC145&lt;&gt; 0, Source!BC145, 1)</f>
        <v>6.71</v>
      </c>
      <c r="K368" s="30">
        <f>Source!P145</f>
        <v>93.98</v>
      </c>
      <c r="L368" s="32"/>
    </row>
    <row r="369" spans="1:26" ht="14.25" x14ac:dyDescent="0.2">
      <c r="A369" s="45"/>
      <c r="B369" s="46"/>
      <c r="C369" s="46" t="s">
        <v>1085</v>
      </c>
      <c r="D369" s="29" t="s">
        <v>1086</v>
      </c>
      <c r="E369" s="11">
        <f>Source!BZ145</f>
        <v>80</v>
      </c>
      <c r="F369" s="49"/>
      <c r="G369" s="31"/>
      <c r="H369" s="30">
        <f>SUM(S363:S373)</f>
        <v>42.29</v>
      </c>
      <c r="I369" s="34"/>
      <c r="J369" s="27">
        <f>Source!AT145</f>
        <v>80</v>
      </c>
      <c r="K369" s="30">
        <f>SUM(T363:T373)</f>
        <v>283.74</v>
      </c>
      <c r="L369" s="32"/>
    </row>
    <row r="370" spans="1:26" ht="14.25" x14ac:dyDescent="0.2">
      <c r="A370" s="45"/>
      <c r="B370" s="46"/>
      <c r="C370" s="46" t="s">
        <v>1087</v>
      </c>
      <c r="D370" s="29" t="s">
        <v>1086</v>
      </c>
      <c r="E370" s="11">
        <f>Source!CA145</f>
        <v>50</v>
      </c>
      <c r="F370" s="49"/>
      <c r="G370" s="31"/>
      <c r="H370" s="30">
        <f>SUM(U363:U373)</f>
        <v>26.43</v>
      </c>
      <c r="I370" s="34"/>
      <c r="J370" s="27">
        <f>Source!AU145</f>
        <v>50</v>
      </c>
      <c r="K370" s="30">
        <f>SUM(V363:V373)</f>
        <v>177.34</v>
      </c>
      <c r="L370" s="32"/>
    </row>
    <row r="371" spans="1:26" ht="14.25" x14ac:dyDescent="0.2">
      <c r="A371" s="45"/>
      <c r="B371" s="46"/>
      <c r="C371" s="46" t="s">
        <v>1088</v>
      </c>
      <c r="D371" s="29" t="s">
        <v>1089</v>
      </c>
      <c r="E371" s="11">
        <f>Source!AQ145</f>
        <v>65.94</v>
      </c>
      <c r="F371" s="30"/>
      <c r="G371" s="31" t="str">
        <f>Source!DI145</f>
        <v/>
      </c>
      <c r="H371" s="30"/>
      <c r="I371" s="31"/>
      <c r="J371" s="31"/>
      <c r="K371" s="30"/>
      <c r="L371" s="41">
        <f>Source!U145</f>
        <v>6.0466980000000001</v>
      </c>
    </row>
    <row r="372" spans="1:26" ht="28.5" x14ac:dyDescent="0.2">
      <c r="A372" s="45" t="str">
        <f>Source!E146</f>
        <v>32,1</v>
      </c>
      <c r="B372" s="46" t="str">
        <f>Source!F146</f>
        <v>14.4.02.04</v>
      </c>
      <c r="C372" s="46" t="str">
        <f>Source!G146</f>
        <v>Краски для внутренних работ масляные готовые к применению</v>
      </c>
      <c r="D372" s="29" t="str">
        <f>Source!H146</f>
        <v>т</v>
      </c>
      <c r="E372" s="11">
        <f>Source!I146</f>
        <v>1.4760000000000001E-3</v>
      </c>
      <c r="F372" s="30">
        <f>Source!AL146+Source!AM146+Source!AO146</f>
        <v>0</v>
      </c>
      <c r="G372" s="44" t="s">
        <v>6</v>
      </c>
      <c r="H372" s="30">
        <f>ROUND(Source!AC146*Source!I146, 2)+ROUND(Source!AD146*Source!I146, 2)+ROUND(Source!AF146*Source!I146, 2)</f>
        <v>0</v>
      </c>
      <c r="I372" s="31"/>
      <c r="J372" s="31">
        <f>IF(Source!BC146&lt;&gt; 0, Source!BC146, 1)</f>
        <v>6.71</v>
      </c>
      <c r="K372" s="30">
        <f>Source!O146</f>
        <v>0</v>
      </c>
      <c r="L372" s="32"/>
      <c r="S372">
        <f>ROUND((Source!FX146/100)*((ROUND(Source!AF146*Source!I146, 2)+ROUND(Source!AE146*Source!I146, 2))), 2)</f>
        <v>0</v>
      </c>
      <c r="T372">
        <f>Source!X146</f>
        <v>0</v>
      </c>
      <c r="U372">
        <f>ROUND((Source!FY146/100)*((ROUND(Source!AF146*Source!I146, 2)+ROUND(Source!AE146*Source!I146, 2))), 2)</f>
        <v>0</v>
      </c>
      <c r="V372">
        <f>Source!Y146</f>
        <v>0</v>
      </c>
      <c r="W372">
        <f>IF(Source!BI146&lt;=1,H372, 0)</f>
        <v>0</v>
      </c>
      <c r="X372">
        <f>IF(Source!BI146=2,H372, 0)</f>
        <v>0</v>
      </c>
      <c r="Y372">
        <f>IF(Source!BI146=3,H372, 0)</f>
        <v>0</v>
      </c>
      <c r="Z372">
        <f>IF(Source!BI146=4,H372, 0)</f>
        <v>0</v>
      </c>
    </row>
    <row r="373" spans="1:26" ht="42.75" x14ac:dyDescent="0.2">
      <c r="A373" s="47" t="str">
        <f>Source!E147</f>
        <v>32,2</v>
      </c>
      <c r="B373" s="48" t="str">
        <f>Source!F147</f>
        <v>14.4.02.04-0101</v>
      </c>
      <c r="C373" s="48" t="str">
        <f>Source!G147</f>
        <v>Краски для внутренних работ масляные готовые к применению МА-15 БИО</v>
      </c>
      <c r="D373" s="35" t="str">
        <f>Source!H147</f>
        <v>т</v>
      </c>
      <c r="E373" s="36">
        <f>Source!I147</f>
        <v>1.4760000000000001E-3</v>
      </c>
      <c r="F373" s="37">
        <f>Source!AL147+Source!AM147+Source!AO147</f>
        <v>42508.19</v>
      </c>
      <c r="G373" s="42" t="s">
        <v>6</v>
      </c>
      <c r="H373" s="37">
        <f>ROUND(Source!AC147*Source!I147, 2)+ROUND(Source!AD147*Source!I147, 2)+ROUND(Source!AF147*Source!I147, 2)</f>
        <v>62.74</v>
      </c>
      <c r="I373" s="38"/>
      <c r="J373" s="38">
        <f>IF(Source!BC147&lt;&gt; 0, Source!BC147, 1)</f>
        <v>6.71</v>
      </c>
      <c r="K373" s="37">
        <f>Source!O147</f>
        <v>421</v>
      </c>
      <c r="L373" s="43"/>
      <c r="S373">
        <f>ROUND((Source!FX147/100)*((ROUND(Source!AF147*Source!I147, 2)+ROUND(Source!AE147*Source!I147, 2))), 2)</f>
        <v>0</v>
      </c>
      <c r="T373">
        <f>Source!X147</f>
        <v>0</v>
      </c>
      <c r="U373">
        <f>ROUND((Source!FY147/100)*((ROUND(Source!AF147*Source!I147, 2)+ROUND(Source!AE147*Source!I147, 2))), 2)</f>
        <v>0</v>
      </c>
      <c r="V373">
        <f>Source!Y147</f>
        <v>0</v>
      </c>
      <c r="W373">
        <f>IF(Source!BI147&lt;=1,H373, 0)</f>
        <v>62.74</v>
      </c>
      <c r="X373">
        <f>IF(Source!BI147=2,H373, 0)</f>
        <v>0</v>
      </c>
      <c r="Y373">
        <f>IF(Source!BI147=3,H373, 0)</f>
        <v>0</v>
      </c>
      <c r="Z373">
        <f>IF(Source!BI147=4,H373, 0)</f>
        <v>0</v>
      </c>
    </row>
    <row r="374" spans="1:26" ht="15" x14ac:dyDescent="0.25">
      <c r="G374" s="69">
        <f>H365+H366+H368+H369+H370+SUM(H372:H373)</f>
        <v>198.38000000000002</v>
      </c>
      <c r="H374" s="69"/>
      <c r="J374" s="69">
        <f>K365+K366+K368+K369+K370+SUM(K372:K373)</f>
        <v>1331.08</v>
      </c>
      <c r="K374" s="69"/>
      <c r="L374" s="40">
        <f>Source!U145</f>
        <v>6.0466980000000001</v>
      </c>
      <c r="O374" s="24">
        <f>G374</f>
        <v>198.38000000000002</v>
      </c>
      <c r="P374" s="24">
        <f>J374</f>
        <v>1331.08</v>
      </c>
      <c r="Q374" s="24">
        <f>L374</f>
        <v>6.0466980000000001</v>
      </c>
      <c r="W374">
        <f>IF(Source!BI145&lt;=1,H365+H366+H368+H369+H370, 0)</f>
        <v>135.64000000000001</v>
      </c>
      <c r="X374">
        <f>IF(Source!BI145=2,H365+H366+H368+H369+H370, 0)</f>
        <v>0</v>
      </c>
      <c r="Y374">
        <f>IF(Source!BI145=3,H365+H366+H368+H369+H370, 0)</f>
        <v>0</v>
      </c>
      <c r="Z374">
        <f>IF(Source!BI145=4,H365+H366+H368+H369+H370, 0)</f>
        <v>0</v>
      </c>
    </row>
    <row r="375" spans="1:26" ht="28.5" x14ac:dyDescent="0.2">
      <c r="A375" s="45" t="str">
        <f>Source!E148</f>
        <v>33</v>
      </c>
      <c r="B375" s="46" t="str">
        <f>Source!F148</f>
        <v>13-03-004-26</v>
      </c>
      <c r="C375" s="46" t="str">
        <f>Source!G148</f>
        <v>Окраска металлических огрунтованных поверхностей эмалью ПФ-115</v>
      </c>
      <c r="D375" s="29" t="str">
        <f>Source!H148</f>
        <v>100 м2</v>
      </c>
      <c r="E375" s="11">
        <f>Source!I148</f>
        <v>0.3</v>
      </c>
      <c r="F375" s="30">
        <f>Source!AL148+Source!AM148+Source!AO148</f>
        <v>322.02</v>
      </c>
      <c r="G375" s="31"/>
      <c r="H375" s="30"/>
      <c r="I375" s="31" t="str">
        <f>Source!BO148</f>
        <v/>
      </c>
      <c r="J375" s="31"/>
      <c r="K375" s="30"/>
      <c r="L375" s="32"/>
      <c r="S375">
        <f>ROUND((Source!FX148/100)*((ROUND(Source!AF148*Source!I148, 2)+ROUND(Source!AE148*Source!I148, 2))), 2)</f>
        <v>11.73</v>
      </c>
      <c r="T375">
        <f>Source!X148</f>
        <v>78.7</v>
      </c>
      <c r="U375">
        <f>ROUND((Source!FY148/100)*((ROUND(Source!AF148*Source!I148, 2)+ROUND(Source!AE148*Source!I148, 2))), 2)</f>
        <v>8.6199999999999992</v>
      </c>
      <c r="V375">
        <f>Source!Y148</f>
        <v>58.3</v>
      </c>
    </row>
    <row r="376" spans="1:26" x14ac:dyDescent="0.2">
      <c r="C376" s="23" t="str">
        <f>"Объем: "&amp;Source!I148&amp;"=30/"&amp;"100"</f>
        <v>Объем: 0,3=30/100</v>
      </c>
    </row>
    <row r="377" spans="1:26" ht="14.25" x14ac:dyDescent="0.2">
      <c r="A377" s="45"/>
      <c r="B377" s="46"/>
      <c r="C377" s="46" t="s">
        <v>1083</v>
      </c>
      <c r="D377" s="29"/>
      <c r="E377" s="11"/>
      <c r="F377" s="30">
        <f>Source!AO148</f>
        <v>34.74</v>
      </c>
      <c r="G377" s="31" t="str">
        <f>Source!DG148</f>
        <v>)*1,15)*1,2</v>
      </c>
      <c r="H377" s="30">
        <f>ROUND(Source!AF148*Source!I148, 2)</f>
        <v>14.38</v>
      </c>
      <c r="I377" s="31"/>
      <c r="J377" s="31">
        <f>IF(Source!BA148&lt;&gt; 0, Source!BA148, 1)</f>
        <v>6.71</v>
      </c>
      <c r="K377" s="30">
        <f>Source!S148</f>
        <v>96.5</v>
      </c>
      <c r="L377" s="32"/>
      <c r="R377">
        <f>H377</f>
        <v>14.38</v>
      </c>
    </row>
    <row r="378" spans="1:26" ht="14.25" x14ac:dyDescent="0.2">
      <c r="A378" s="45"/>
      <c r="B378" s="46"/>
      <c r="C378" s="46" t="s">
        <v>139</v>
      </c>
      <c r="D378" s="29"/>
      <c r="E378" s="11"/>
      <c r="F378" s="30">
        <f>Source!AM148</f>
        <v>6.01</v>
      </c>
      <c r="G378" s="31" t="str">
        <f>Source!DE148</f>
        <v>)*1,25)*1,2</v>
      </c>
      <c r="H378" s="30">
        <f>ROUND(Source!AD148*Source!I148, 2)</f>
        <v>2.71</v>
      </c>
      <c r="I378" s="31"/>
      <c r="J378" s="31">
        <f>IF(Source!BB148&lt;&gt; 0, Source!BB148, 1)</f>
        <v>6.71</v>
      </c>
      <c r="K378" s="30">
        <f>Source!Q148</f>
        <v>18.16</v>
      </c>
      <c r="L378" s="32"/>
    </row>
    <row r="379" spans="1:26" ht="14.25" x14ac:dyDescent="0.2">
      <c r="A379" s="45"/>
      <c r="B379" s="46"/>
      <c r="C379" s="46" t="s">
        <v>1084</v>
      </c>
      <c r="D379" s="29"/>
      <c r="E379" s="11"/>
      <c r="F379" s="30">
        <f>Source!AN148</f>
        <v>0.22</v>
      </c>
      <c r="G379" s="31" t="str">
        <f>Source!DF148</f>
        <v>)*1,25)*1,2</v>
      </c>
      <c r="H379" s="33">
        <f>ROUND(Source!AE148*Source!I148, 2)</f>
        <v>0.1</v>
      </c>
      <c r="I379" s="31"/>
      <c r="J379" s="31">
        <f>IF(Source!BS148&lt;&gt; 0, Source!BS148, 1)</f>
        <v>6.71</v>
      </c>
      <c r="K379" s="33">
        <f>Source!R148</f>
        <v>0.66</v>
      </c>
      <c r="L379" s="32"/>
      <c r="R379">
        <f>H379</f>
        <v>0.1</v>
      </c>
    </row>
    <row r="380" spans="1:26" ht="14.25" x14ac:dyDescent="0.2">
      <c r="A380" s="45"/>
      <c r="B380" s="46"/>
      <c r="C380" s="46" t="s">
        <v>1090</v>
      </c>
      <c r="D380" s="29"/>
      <c r="E380" s="11"/>
      <c r="F380" s="30">
        <f>Source!AL148</f>
        <v>281.27</v>
      </c>
      <c r="G380" s="31" t="str">
        <f>Source!DD148</f>
        <v/>
      </c>
      <c r="H380" s="30">
        <f>ROUND(Source!AC148*Source!I148, 2)</f>
        <v>84.38</v>
      </c>
      <c r="I380" s="31"/>
      <c r="J380" s="31">
        <f>IF(Source!BC148&lt;&gt; 0, Source!BC148, 1)</f>
        <v>6.71</v>
      </c>
      <c r="K380" s="30">
        <f>Source!P148</f>
        <v>566.20000000000005</v>
      </c>
      <c r="L380" s="32"/>
    </row>
    <row r="381" spans="1:26" ht="14.25" x14ac:dyDescent="0.2">
      <c r="A381" s="45"/>
      <c r="B381" s="46"/>
      <c r="C381" s="46" t="s">
        <v>1085</v>
      </c>
      <c r="D381" s="29" t="s">
        <v>1086</v>
      </c>
      <c r="E381" s="11">
        <f>Source!BZ148</f>
        <v>90</v>
      </c>
      <c r="F381" s="72" t="str">
        <f>CONCATENATE(" )", Source!DL148, Source!FT148, "=", Source!FX148)</f>
        <v xml:space="preserve"> )*0,9=81</v>
      </c>
      <c r="G381" s="73"/>
      <c r="H381" s="30">
        <f>SUM(S375:S383)</f>
        <v>11.73</v>
      </c>
      <c r="I381" s="34"/>
      <c r="J381" s="27">
        <f>Source!AT148</f>
        <v>81</v>
      </c>
      <c r="K381" s="30">
        <f>SUM(T375:T383)</f>
        <v>78.7</v>
      </c>
      <c r="L381" s="32"/>
    </row>
    <row r="382" spans="1:26" ht="14.25" x14ac:dyDescent="0.2">
      <c r="A382" s="45"/>
      <c r="B382" s="46"/>
      <c r="C382" s="46" t="s">
        <v>1087</v>
      </c>
      <c r="D382" s="29" t="s">
        <v>1086</v>
      </c>
      <c r="E382" s="11">
        <f>Source!CA148</f>
        <v>70</v>
      </c>
      <c r="F382" s="72" t="str">
        <f>CONCATENATE(" )", Source!DM148, Source!FU148, "=", Source!FY148)</f>
        <v xml:space="preserve"> )*0,85=59,5</v>
      </c>
      <c r="G382" s="73"/>
      <c r="H382" s="30">
        <f>SUM(U375:U383)</f>
        <v>8.6199999999999992</v>
      </c>
      <c r="I382" s="34"/>
      <c r="J382" s="27">
        <f>Source!AU148</f>
        <v>60</v>
      </c>
      <c r="K382" s="30">
        <f>SUM(V375:V383)</f>
        <v>58.3</v>
      </c>
      <c r="L382" s="32"/>
    </row>
    <row r="383" spans="1:26" ht="14.25" x14ac:dyDescent="0.2">
      <c r="A383" s="47"/>
      <c r="B383" s="48"/>
      <c r="C383" s="48" t="s">
        <v>1088</v>
      </c>
      <c r="D383" s="35" t="s">
        <v>1089</v>
      </c>
      <c r="E383" s="36">
        <f>Source!AQ148</f>
        <v>3.83</v>
      </c>
      <c r="F383" s="37"/>
      <c r="G383" s="38" t="str">
        <f>Source!DI148</f>
        <v>)*1,15)*1,2</v>
      </c>
      <c r="H383" s="37"/>
      <c r="I383" s="38"/>
      <c r="J383" s="38"/>
      <c r="K383" s="37"/>
      <c r="L383" s="39">
        <f>Source!U148</f>
        <v>1.5856199999999998</v>
      </c>
    </row>
    <row r="384" spans="1:26" ht="15" x14ac:dyDescent="0.25">
      <c r="G384" s="69">
        <f>H377+H378+H380+H381+H382</f>
        <v>121.82000000000001</v>
      </c>
      <c r="H384" s="69"/>
      <c r="J384" s="69">
        <f>K377+K378+K380+K381+K382</f>
        <v>817.86</v>
      </c>
      <c r="K384" s="69"/>
      <c r="L384" s="40">
        <f>Source!U148</f>
        <v>1.5856199999999998</v>
      </c>
      <c r="O384" s="24">
        <f>G384</f>
        <v>121.82000000000001</v>
      </c>
      <c r="P384" s="24">
        <f>J384</f>
        <v>817.86</v>
      </c>
      <c r="Q384" s="24">
        <f>L384</f>
        <v>1.5856199999999998</v>
      </c>
      <c r="W384">
        <f>IF(Source!BI148&lt;=1,H377+H378+H380+H381+H382, 0)</f>
        <v>121.82000000000001</v>
      </c>
      <c r="X384">
        <f>IF(Source!BI148=2,H377+H378+H380+H381+H382, 0)</f>
        <v>0</v>
      </c>
      <c r="Y384">
        <f>IF(Source!BI148=3,H377+H378+H380+H381+H382, 0)</f>
        <v>0</v>
      </c>
      <c r="Z384">
        <f>IF(Source!BI148=4,H377+H378+H380+H381+H382, 0)</f>
        <v>0</v>
      </c>
    </row>
    <row r="385" spans="1:26" ht="42.75" x14ac:dyDescent="0.2">
      <c r="A385" s="47" t="str">
        <f>Source!E149</f>
        <v>34</v>
      </c>
      <c r="B385" s="48" t="str">
        <f>Source!F149</f>
        <v>т01-01-01-041</v>
      </c>
      <c r="C385" s="48" t="str">
        <f>Source!G149</f>
        <v>Погрузочные работы при автомобильных перевозках мусора строительного с погрузкой вручную</v>
      </c>
      <c r="D385" s="35" t="str">
        <f>Source!H149</f>
        <v>1 Т ГРУЗА</v>
      </c>
      <c r="E385" s="36">
        <f>Source!I149</f>
        <v>1.8</v>
      </c>
      <c r="F385" s="37">
        <f>Source!AK149</f>
        <v>42.98</v>
      </c>
      <c r="G385" s="38" t="str">
        <f>Source!DC149</f>
        <v/>
      </c>
      <c r="H385" s="37">
        <f>ROUND(Source!AB149*Source!I149, 2)</f>
        <v>77.36</v>
      </c>
      <c r="I385" s="38" t="str">
        <f>Source!BO149</f>
        <v/>
      </c>
      <c r="J385" s="38">
        <f>Source!AZ149</f>
        <v>6.71</v>
      </c>
      <c r="K385" s="37">
        <f>Source!GM149</f>
        <v>519.11</v>
      </c>
      <c r="L385" s="43"/>
      <c r="S385">
        <f>ROUND((Source!FX149/100)*((ROUND(0*Source!I149, 2)+ROUND(0*Source!I149, 2))), 2)</f>
        <v>0</v>
      </c>
      <c r="T385">
        <f>Source!X149</f>
        <v>0</v>
      </c>
      <c r="U385">
        <f>ROUND((Source!FY149/100)*((ROUND(0*Source!I149, 2)+ROUND(0*Source!I149, 2))), 2)</f>
        <v>0</v>
      </c>
      <c r="V385">
        <f>Source!Y149</f>
        <v>0</v>
      </c>
    </row>
    <row r="386" spans="1:26" ht="15" x14ac:dyDescent="0.25">
      <c r="G386" s="69">
        <f>H385</f>
        <v>77.36</v>
      </c>
      <c r="H386" s="69"/>
      <c r="J386" s="69">
        <f>K385</f>
        <v>519.11</v>
      </c>
      <c r="K386" s="69"/>
      <c r="L386" s="40">
        <f>Source!U149</f>
        <v>0</v>
      </c>
      <c r="O386" s="24">
        <f>G386</f>
        <v>77.36</v>
      </c>
      <c r="P386" s="24">
        <f>J386</f>
        <v>519.11</v>
      </c>
      <c r="Q386" s="24">
        <f>L386</f>
        <v>0</v>
      </c>
      <c r="W386">
        <f>IF(Source!BI149&lt;=1,H385, 0)</f>
        <v>77.36</v>
      </c>
      <c r="X386">
        <f>IF(Source!BI149=2,H385, 0)</f>
        <v>0</v>
      </c>
      <c r="Y386">
        <f>IF(Source!BI149=3,H385, 0)</f>
        <v>0</v>
      </c>
      <c r="Z386">
        <f>IF(Source!BI149=4,H385, 0)</f>
        <v>0</v>
      </c>
    </row>
    <row r="387" spans="1:26" ht="57" x14ac:dyDescent="0.2">
      <c r="A387" s="47" t="str">
        <f>Source!E150</f>
        <v>35</v>
      </c>
      <c r="B387" s="48" t="str">
        <f>Source!F150</f>
        <v>т03-01-01-050</v>
      </c>
      <c r="C387" s="48" t="str">
        <f>Source!G150</f>
        <v>Перевозка грузов I класса автомобилями бортовыми грузоподъемностью до 15 т на расстояние до 50 км</v>
      </c>
      <c r="D387" s="35" t="str">
        <f>Source!H150</f>
        <v>1 Т ГРУЗА</v>
      </c>
      <c r="E387" s="36">
        <f>Source!I150</f>
        <v>1.8</v>
      </c>
      <c r="F387" s="37">
        <f>Source!AK150</f>
        <v>23.67</v>
      </c>
      <c r="G387" s="38" t="str">
        <f>Source!DC150</f>
        <v/>
      </c>
      <c r="H387" s="37">
        <f>ROUND(Source!AB150*Source!I150, 2)</f>
        <v>42.61</v>
      </c>
      <c r="I387" s="38" t="str">
        <f>Source!BO150</f>
        <v/>
      </c>
      <c r="J387" s="38">
        <f>Source!AZ150</f>
        <v>6.71</v>
      </c>
      <c r="K387" s="37">
        <f>Source!GM150</f>
        <v>285.89</v>
      </c>
      <c r="L387" s="43"/>
      <c r="S387">
        <f>ROUND((Source!FX150/100)*((ROUND(0*Source!I150, 2)+ROUND(0*Source!I150, 2))), 2)</f>
        <v>0</v>
      </c>
      <c r="T387">
        <f>Source!X150</f>
        <v>0</v>
      </c>
      <c r="U387">
        <f>ROUND((Source!FY150/100)*((ROUND(0*Source!I150, 2)+ROUND(0*Source!I150, 2))), 2)</f>
        <v>0</v>
      </c>
      <c r="V387">
        <f>Source!Y150</f>
        <v>0</v>
      </c>
    </row>
    <row r="388" spans="1:26" ht="15" x14ac:dyDescent="0.25">
      <c r="G388" s="69">
        <f>H387</f>
        <v>42.61</v>
      </c>
      <c r="H388" s="69"/>
      <c r="J388" s="69">
        <f>K387</f>
        <v>285.89</v>
      </c>
      <c r="K388" s="69"/>
      <c r="L388" s="40">
        <f>Source!U150</f>
        <v>0</v>
      </c>
      <c r="O388" s="24">
        <f>G388</f>
        <v>42.61</v>
      </c>
      <c r="P388" s="24">
        <f>J388</f>
        <v>285.89</v>
      </c>
      <c r="Q388" s="24">
        <f>L388</f>
        <v>0</v>
      </c>
      <c r="W388">
        <f>IF(Source!BI150&lt;=1,H387, 0)</f>
        <v>42.61</v>
      </c>
      <c r="X388">
        <f>IF(Source!BI150=2,H387, 0)</f>
        <v>0</v>
      </c>
      <c r="Y388">
        <f>IF(Source!BI150=3,H387, 0)</f>
        <v>0</v>
      </c>
      <c r="Z388">
        <f>IF(Source!BI150=4,H387, 0)</f>
        <v>0</v>
      </c>
    </row>
    <row r="390" spans="1:26" ht="15" x14ac:dyDescent="0.25">
      <c r="A390" s="71" t="str">
        <f>CONCATENATE("Итого по разделу: ",IF(Source!G152&lt;&gt;"Новый раздел", Source!G152, ""))</f>
        <v>Итого по разделу: Монтаж</v>
      </c>
      <c r="B390" s="71"/>
      <c r="C390" s="71"/>
      <c r="D390" s="71"/>
      <c r="E390" s="71"/>
      <c r="F390" s="71"/>
      <c r="G390" s="70">
        <f>SUM(O167:O389)</f>
        <v>106277.73000000001</v>
      </c>
      <c r="H390" s="70"/>
      <c r="I390" s="26"/>
      <c r="J390" s="70">
        <f>SUM(P167:P389)</f>
        <v>713256.71</v>
      </c>
      <c r="K390" s="70"/>
      <c r="L390" s="40">
        <f>SUM(Q167:Q389)</f>
        <v>656.53464069999973</v>
      </c>
    </row>
    <row r="392" spans="1:26" ht="16.5" x14ac:dyDescent="0.25">
      <c r="A392" s="74" t="str">
        <f>CONCATENATE("Раздел: ",IF(Source!G181&lt;&gt;"Новый раздел", Source!G181, ""))</f>
        <v>Раздел: Электромонтажные работы</v>
      </c>
      <c r="B392" s="74"/>
      <c r="C392" s="74"/>
      <c r="D392" s="74"/>
      <c r="E392" s="74"/>
      <c r="F392" s="74"/>
      <c r="G392" s="74"/>
      <c r="H392" s="74"/>
      <c r="I392" s="74"/>
      <c r="J392" s="74"/>
      <c r="K392" s="74"/>
      <c r="L392" s="74"/>
    </row>
    <row r="393" spans="1:26" ht="42.75" x14ac:dyDescent="0.2">
      <c r="A393" s="45" t="str">
        <f>Source!E185</f>
        <v>36</v>
      </c>
      <c r="B393" s="46" t="str">
        <f>Source!F185</f>
        <v>м10-04-101-07</v>
      </c>
      <c r="C393" s="46" t="str">
        <f>Source!G185</f>
        <v>Громкоговоритель или звуковая колонка в помещении (ранее демонтированные)</v>
      </c>
      <c r="D393" s="29" t="str">
        <f>Source!H185</f>
        <v>ШТ</v>
      </c>
      <c r="E393" s="11">
        <f>Source!I185</f>
        <v>6</v>
      </c>
      <c r="F393" s="30">
        <f>Source!AL185+Source!AM185+Source!AO185</f>
        <v>30.770000000000003</v>
      </c>
      <c r="G393" s="31"/>
      <c r="H393" s="30"/>
      <c r="I393" s="31" t="str">
        <f>Source!BO185</f>
        <v/>
      </c>
      <c r="J393" s="31"/>
      <c r="K393" s="30"/>
      <c r="L393" s="32"/>
      <c r="S393">
        <f>ROUND((Source!FX185/100)*((ROUND(Source!AF185*Source!I185, 2)+ROUND(Source!AE185*Source!I185, 2))), 2)</f>
        <v>120.17</v>
      </c>
      <c r="T393">
        <f>Source!X185</f>
        <v>806.34</v>
      </c>
      <c r="U393">
        <f>ROUND((Source!FY185/100)*((ROUND(Source!AF185*Source!I185, 2)+ROUND(Source!AE185*Source!I185, 2))), 2)</f>
        <v>84.9</v>
      </c>
      <c r="V393">
        <f>Source!Y185</f>
        <v>569.70000000000005</v>
      </c>
    </row>
    <row r="394" spans="1:26" ht="14.25" x14ac:dyDescent="0.2">
      <c r="A394" s="45"/>
      <c r="B394" s="46"/>
      <c r="C394" s="46" t="s">
        <v>1083</v>
      </c>
      <c r="D394" s="29"/>
      <c r="E394" s="11"/>
      <c r="F394" s="30">
        <f>Source!AO185</f>
        <v>18.14</v>
      </c>
      <c r="G394" s="31" t="str">
        <f>Source!DG185</f>
        <v>)*1,2</v>
      </c>
      <c r="H394" s="30">
        <f>ROUND(Source!AF185*Source!I185, 2)</f>
        <v>130.62</v>
      </c>
      <c r="I394" s="31"/>
      <c r="J394" s="31">
        <f>IF(Source!BA185&lt;&gt; 0, Source!BA185, 1)</f>
        <v>6.71</v>
      </c>
      <c r="K394" s="30">
        <f>Source!S185</f>
        <v>876.46</v>
      </c>
      <c r="L394" s="32"/>
      <c r="R394">
        <f>H394</f>
        <v>130.62</v>
      </c>
    </row>
    <row r="395" spans="1:26" ht="14.25" x14ac:dyDescent="0.2">
      <c r="A395" s="45"/>
      <c r="B395" s="46"/>
      <c r="C395" s="46" t="s">
        <v>1090</v>
      </c>
      <c r="D395" s="29"/>
      <c r="E395" s="11"/>
      <c r="F395" s="30">
        <f>Source!AL185</f>
        <v>12.63</v>
      </c>
      <c r="G395" s="31" t="str">
        <f>Source!DD185</f>
        <v/>
      </c>
      <c r="H395" s="30">
        <f>ROUND(Source!AC185*Source!I185, 2)</f>
        <v>75.78</v>
      </c>
      <c r="I395" s="31"/>
      <c r="J395" s="31">
        <f>IF(Source!BC185&lt;&gt; 0, Source!BC185, 1)</f>
        <v>6.71</v>
      </c>
      <c r="K395" s="30">
        <f>Source!P185</f>
        <v>508.48</v>
      </c>
      <c r="L395" s="32"/>
    </row>
    <row r="396" spans="1:26" ht="14.25" x14ac:dyDescent="0.2">
      <c r="A396" s="45"/>
      <c r="B396" s="46"/>
      <c r="C396" s="46" t="s">
        <v>1085</v>
      </c>
      <c r="D396" s="29" t="s">
        <v>1086</v>
      </c>
      <c r="E396" s="11">
        <f>Source!BZ185</f>
        <v>92</v>
      </c>
      <c r="F396" s="49"/>
      <c r="G396" s="31"/>
      <c r="H396" s="30">
        <f>SUM(S393:S398)</f>
        <v>120.17</v>
      </c>
      <c r="I396" s="34"/>
      <c r="J396" s="27">
        <f>Source!AT185</f>
        <v>92</v>
      </c>
      <c r="K396" s="30">
        <f>SUM(T393:T398)</f>
        <v>806.34</v>
      </c>
      <c r="L396" s="32"/>
    </row>
    <row r="397" spans="1:26" ht="14.25" x14ac:dyDescent="0.2">
      <c r="A397" s="45"/>
      <c r="B397" s="46"/>
      <c r="C397" s="46" t="s">
        <v>1087</v>
      </c>
      <c r="D397" s="29" t="s">
        <v>1086</v>
      </c>
      <c r="E397" s="11">
        <f>Source!CA185</f>
        <v>65</v>
      </c>
      <c r="F397" s="49"/>
      <c r="G397" s="31"/>
      <c r="H397" s="30">
        <f>SUM(U393:U398)</f>
        <v>84.9</v>
      </c>
      <c r="I397" s="34"/>
      <c r="J397" s="27">
        <f>Source!AU185</f>
        <v>65</v>
      </c>
      <c r="K397" s="30">
        <f>SUM(V393:V398)</f>
        <v>569.70000000000005</v>
      </c>
      <c r="L397" s="32"/>
    </row>
    <row r="398" spans="1:26" ht="14.25" x14ac:dyDescent="0.2">
      <c r="A398" s="47"/>
      <c r="B398" s="48"/>
      <c r="C398" s="48" t="s">
        <v>1088</v>
      </c>
      <c r="D398" s="35" t="s">
        <v>1089</v>
      </c>
      <c r="E398" s="36">
        <f>Source!AQ185</f>
        <v>2</v>
      </c>
      <c r="F398" s="37"/>
      <c r="G398" s="38" t="str">
        <f>Source!DI185</f>
        <v>)*1,2</v>
      </c>
      <c r="H398" s="37"/>
      <c r="I398" s="38"/>
      <c r="J398" s="38"/>
      <c r="K398" s="37"/>
      <c r="L398" s="39">
        <f>Source!U185</f>
        <v>14.399999999999999</v>
      </c>
    </row>
    <row r="399" spans="1:26" ht="15" x14ac:dyDescent="0.25">
      <c r="G399" s="69">
        <f>H394+H395+H396+H397</f>
        <v>411.47</v>
      </c>
      <c r="H399" s="69"/>
      <c r="J399" s="69">
        <f>K394+K395+K396+K397</f>
        <v>2760.9800000000005</v>
      </c>
      <c r="K399" s="69"/>
      <c r="L399" s="40">
        <f>Source!U185</f>
        <v>14.399999999999999</v>
      </c>
      <c r="O399" s="24">
        <f>G399</f>
        <v>411.47</v>
      </c>
      <c r="P399" s="24">
        <f>J399</f>
        <v>2760.9800000000005</v>
      </c>
      <c r="Q399" s="24">
        <f>L399</f>
        <v>14.399999999999999</v>
      </c>
      <c r="W399">
        <f>IF(Source!BI185&lt;=1,H394+H395+H396+H397, 0)</f>
        <v>0</v>
      </c>
      <c r="X399">
        <f>IF(Source!BI185=2,H394+H395+H396+H397, 0)</f>
        <v>411.47</v>
      </c>
      <c r="Y399">
        <f>IF(Source!BI185=3,H394+H395+H396+H397, 0)</f>
        <v>0</v>
      </c>
      <c r="Z399">
        <f>IF(Source!BI185=4,H394+H395+H396+H397, 0)</f>
        <v>0</v>
      </c>
    </row>
    <row r="400" spans="1:26" ht="57" x14ac:dyDescent="0.2">
      <c r="A400" s="45" t="str">
        <f>Source!E186</f>
        <v>37</v>
      </c>
      <c r="B400" s="46" t="str">
        <f>Source!F186</f>
        <v>м10-08-002-01</v>
      </c>
      <c r="C400" s="46" t="str">
        <f>Source!G186</f>
        <v>Извещатель ПС автоматический тепловой электро-контактный, магнитоконтактный в нормальном исполнении (ранее демонтированые)</v>
      </c>
      <c r="D400" s="29" t="str">
        <f>Source!H186</f>
        <v>ШТ</v>
      </c>
      <c r="E400" s="11">
        <f>Source!I186</f>
        <v>21</v>
      </c>
      <c r="F400" s="30">
        <f>Source!AL186+Source!AM186+Source!AO186</f>
        <v>9.36</v>
      </c>
      <c r="G400" s="31"/>
      <c r="H400" s="30"/>
      <c r="I400" s="31" t="str">
        <f>Source!BO186</f>
        <v/>
      </c>
      <c r="J400" s="31"/>
      <c r="K400" s="30"/>
      <c r="L400" s="32"/>
      <c r="S400">
        <f>ROUND((Source!FX186/100)*((ROUND(Source!AF186*Source!I186, 2)+ROUND(Source!AE186*Source!I186, 2))), 2)</f>
        <v>162.96</v>
      </c>
      <c r="T400">
        <f>Source!X186</f>
        <v>1093.46</v>
      </c>
      <c r="U400">
        <f>ROUND((Source!FY186/100)*((ROUND(Source!AF186*Source!I186, 2)+ROUND(Source!AE186*Source!I186, 2))), 2)</f>
        <v>122.22</v>
      </c>
      <c r="V400">
        <f>Source!Y186</f>
        <v>820.1</v>
      </c>
    </row>
    <row r="401" spans="1:26" ht="14.25" x14ac:dyDescent="0.2">
      <c r="A401" s="45"/>
      <c r="B401" s="46"/>
      <c r="C401" s="46" t="s">
        <v>1083</v>
      </c>
      <c r="D401" s="29"/>
      <c r="E401" s="11"/>
      <c r="F401" s="30">
        <f>Source!AO186</f>
        <v>8.08</v>
      </c>
      <c r="G401" s="31" t="str">
        <f>Source!DG186</f>
        <v>)*1,2</v>
      </c>
      <c r="H401" s="30">
        <f>ROUND(Source!AF186*Source!I186, 2)</f>
        <v>203.7</v>
      </c>
      <c r="I401" s="31"/>
      <c r="J401" s="31">
        <f>IF(Source!BA186&lt;&gt; 0, Source!BA186, 1)</f>
        <v>6.71</v>
      </c>
      <c r="K401" s="30">
        <f>Source!S186</f>
        <v>1366.83</v>
      </c>
      <c r="L401" s="32"/>
      <c r="R401">
        <f>H401</f>
        <v>203.7</v>
      </c>
    </row>
    <row r="402" spans="1:26" ht="14.25" x14ac:dyDescent="0.2">
      <c r="A402" s="45"/>
      <c r="B402" s="46"/>
      <c r="C402" s="46" t="s">
        <v>1090</v>
      </c>
      <c r="D402" s="29"/>
      <c r="E402" s="11"/>
      <c r="F402" s="30">
        <f>Source!AL186</f>
        <v>1.28</v>
      </c>
      <c r="G402" s="31" t="str">
        <f>Source!DD186</f>
        <v/>
      </c>
      <c r="H402" s="30">
        <f>ROUND(Source!AC186*Source!I186, 2)</f>
        <v>26.88</v>
      </c>
      <c r="I402" s="31"/>
      <c r="J402" s="31">
        <f>IF(Source!BC186&lt;&gt; 0, Source!BC186, 1)</f>
        <v>6.71</v>
      </c>
      <c r="K402" s="30">
        <f>Source!P186</f>
        <v>180.36</v>
      </c>
      <c r="L402" s="32"/>
    </row>
    <row r="403" spans="1:26" ht="14.25" x14ac:dyDescent="0.2">
      <c r="A403" s="45"/>
      <c r="B403" s="46"/>
      <c r="C403" s="46" t="s">
        <v>1085</v>
      </c>
      <c r="D403" s="29" t="s">
        <v>1086</v>
      </c>
      <c r="E403" s="11">
        <f>Source!BZ186</f>
        <v>80</v>
      </c>
      <c r="F403" s="49"/>
      <c r="G403" s="31"/>
      <c r="H403" s="30">
        <f>SUM(S400:S405)</f>
        <v>162.96</v>
      </c>
      <c r="I403" s="34"/>
      <c r="J403" s="27">
        <f>Source!AT186</f>
        <v>80</v>
      </c>
      <c r="K403" s="30">
        <f>SUM(T400:T405)</f>
        <v>1093.46</v>
      </c>
      <c r="L403" s="32"/>
    </row>
    <row r="404" spans="1:26" ht="14.25" x14ac:dyDescent="0.2">
      <c r="A404" s="45"/>
      <c r="B404" s="46"/>
      <c r="C404" s="46" t="s">
        <v>1087</v>
      </c>
      <c r="D404" s="29" t="s">
        <v>1086</v>
      </c>
      <c r="E404" s="11">
        <f>Source!CA186</f>
        <v>60</v>
      </c>
      <c r="F404" s="49"/>
      <c r="G404" s="31"/>
      <c r="H404" s="30">
        <f>SUM(U400:U405)</f>
        <v>122.22</v>
      </c>
      <c r="I404" s="34"/>
      <c r="J404" s="27">
        <f>Source!AU186</f>
        <v>60</v>
      </c>
      <c r="K404" s="30">
        <f>SUM(V400:V405)</f>
        <v>820.1</v>
      </c>
      <c r="L404" s="32"/>
    </row>
    <row r="405" spans="1:26" ht="14.25" x14ac:dyDescent="0.2">
      <c r="A405" s="47"/>
      <c r="B405" s="48"/>
      <c r="C405" s="48" t="s">
        <v>1088</v>
      </c>
      <c r="D405" s="35" t="s">
        <v>1089</v>
      </c>
      <c r="E405" s="36">
        <f>Source!AQ186</f>
        <v>0.84</v>
      </c>
      <c r="F405" s="37"/>
      <c r="G405" s="38" t="str">
        <f>Source!DI186</f>
        <v>)*1,2</v>
      </c>
      <c r="H405" s="37"/>
      <c r="I405" s="38"/>
      <c r="J405" s="38"/>
      <c r="K405" s="37"/>
      <c r="L405" s="39">
        <f>Source!U186</f>
        <v>21.167999999999999</v>
      </c>
    </row>
    <row r="406" spans="1:26" ht="15" x14ac:dyDescent="0.25">
      <c r="G406" s="69">
        <f>H401+H402+H403+H404</f>
        <v>515.76</v>
      </c>
      <c r="H406" s="69"/>
      <c r="J406" s="69">
        <f>K401+K402+K403+K404</f>
        <v>3460.75</v>
      </c>
      <c r="K406" s="69"/>
      <c r="L406" s="40">
        <f>Source!U186</f>
        <v>21.167999999999999</v>
      </c>
      <c r="O406" s="24">
        <f>G406</f>
        <v>515.76</v>
      </c>
      <c r="P406" s="24">
        <f>J406</f>
        <v>3460.75</v>
      </c>
      <c r="Q406" s="24">
        <f>L406</f>
        <v>21.167999999999999</v>
      </c>
      <c r="W406">
        <f>IF(Source!BI186&lt;=1,H401+H402+H403+H404, 0)</f>
        <v>0</v>
      </c>
      <c r="X406">
        <f>IF(Source!BI186=2,H401+H402+H403+H404, 0)</f>
        <v>515.76</v>
      </c>
      <c r="Y406">
        <f>IF(Source!BI186=3,H401+H402+H403+H404, 0)</f>
        <v>0</v>
      </c>
      <c r="Z406">
        <f>IF(Source!BI186=4,H401+H402+H403+H404, 0)</f>
        <v>0</v>
      </c>
    </row>
    <row r="407" spans="1:26" ht="28.5" x14ac:dyDescent="0.2">
      <c r="A407" s="45" t="str">
        <f>Source!E187</f>
        <v>38</v>
      </c>
      <c r="B407" s="46" t="str">
        <f>Source!F187</f>
        <v>м08-10-010-01</v>
      </c>
      <c r="C407" s="46" t="str">
        <f>Source!G187</f>
        <v>Прокладка труб гофрированных ПВХ для защиты проводов и кабелей</v>
      </c>
      <c r="D407" s="29" t="str">
        <f>Source!H187</f>
        <v>100 м</v>
      </c>
      <c r="E407" s="11">
        <f>Source!I187</f>
        <v>0.2</v>
      </c>
      <c r="F407" s="30">
        <f>Source!AL187+Source!AM187+Source!AO187</f>
        <v>156.32999999999998</v>
      </c>
      <c r="G407" s="31"/>
      <c r="H407" s="30"/>
      <c r="I407" s="31" t="str">
        <f>Source!BO187</f>
        <v/>
      </c>
      <c r="J407" s="31"/>
      <c r="K407" s="30"/>
      <c r="L407" s="32"/>
      <c r="S407">
        <f>ROUND((Source!FX187/100)*((ROUND(Source!AF187*Source!I187, 2)+ROUND(Source!AE187*Source!I187, 2))), 2)</f>
        <v>31.82</v>
      </c>
      <c r="T407">
        <f>Source!X187</f>
        <v>213.48</v>
      </c>
      <c r="U407">
        <f>ROUND((Source!FY187/100)*((ROUND(Source!AF187*Source!I187, 2)+ROUND(Source!AE187*Source!I187, 2))), 2)</f>
        <v>21.77</v>
      </c>
      <c r="V407">
        <f>Source!Y187</f>
        <v>146.07</v>
      </c>
    </row>
    <row r="408" spans="1:26" x14ac:dyDescent="0.2">
      <c r="C408" s="23" t="str">
        <f>"Объем: "&amp;Source!I187&amp;"=20/"&amp;"100"</f>
        <v>Объем: 0,2=20/100</v>
      </c>
    </row>
    <row r="409" spans="1:26" ht="14.25" x14ac:dyDescent="0.2">
      <c r="A409" s="45"/>
      <c r="B409" s="46"/>
      <c r="C409" s="46" t="s">
        <v>1083</v>
      </c>
      <c r="D409" s="29"/>
      <c r="E409" s="11"/>
      <c r="F409" s="30">
        <f>Source!AO187</f>
        <v>139.54</v>
      </c>
      <c r="G409" s="31" t="str">
        <f>Source!DG187</f>
        <v>)*1,2</v>
      </c>
      <c r="H409" s="30">
        <f>ROUND(Source!AF187*Source!I187, 2)</f>
        <v>33.49</v>
      </c>
      <c r="I409" s="31"/>
      <c r="J409" s="31">
        <f>IF(Source!BA187&lt;&gt; 0, Source!BA187, 1)</f>
        <v>6.71</v>
      </c>
      <c r="K409" s="30">
        <f>Source!S187</f>
        <v>224.72</v>
      </c>
      <c r="L409" s="32"/>
      <c r="R409">
        <f>H409</f>
        <v>33.49</v>
      </c>
    </row>
    <row r="410" spans="1:26" ht="14.25" x14ac:dyDescent="0.2">
      <c r="A410" s="45"/>
      <c r="B410" s="46"/>
      <c r="C410" s="46" t="s">
        <v>1090</v>
      </c>
      <c r="D410" s="29"/>
      <c r="E410" s="11"/>
      <c r="F410" s="30">
        <f>Source!AL187</f>
        <v>16.79</v>
      </c>
      <c r="G410" s="31" t="str">
        <f>Source!DD187</f>
        <v/>
      </c>
      <c r="H410" s="30">
        <f>ROUND(Source!AC187*Source!I187, 2)</f>
        <v>3.36</v>
      </c>
      <c r="I410" s="31"/>
      <c r="J410" s="31">
        <f>IF(Source!BC187&lt;&gt; 0, Source!BC187, 1)</f>
        <v>6.71</v>
      </c>
      <c r="K410" s="30">
        <f>Source!P187</f>
        <v>22.53</v>
      </c>
      <c r="L410" s="32"/>
    </row>
    <row r="411" spans="1:26" ht="14.25" x14ac:dyDescent="0.2">
      <c r="A411" s="45"/>
      <c r="B411" s="46"/>
      <c r="C411" s="46" t="s">
        <v>1085</v>
      </c>
      <c r="D411" s="29" t="s">
        <v>1086</v>
      </c>
      <c r="E411" s="11">
        <f>Source!BZ187</f>
        <v>95</v>
      </c>
      <c r="F411" s="49"/>
      <c r="G411" s="31"/>
      <c r="H411" s="30">
        <f>SUM(S407:S414)</f>
        <v>31.82</v>
      </c>
      <c r="I411" s="34"/>
      <c r="J411" s="27">
        <f>Source!AT187</f>
        <v>95</v>
      </c>
      <c r="K411" s="30">
        <f>SUM(T407:T414)</f>
        <v>213.48</v>
      </c>
      <c r="L411" s="32"/>
    </row>
    <row r="412" spans="1:26" ht="14.25" x14ac:dyDescent="0.2">
      <c r="A412" s="45"/>
      <c r="B412" s="46"/>
      <c r="C412" s="46" t="s">
        <v>1087</v>
      </c>
      <c r="D412" s="29" t="s">
        <v>1086</v>
      </c>
      <c r="E412" s="11">
        <f>Source!CA187</f>
        <v>65</v>
      </c>
      <c r="F412" s="49"/>
      <c r="G412" s="31"/>
      <c r="H412" s="30">
        <f>SUM(U407:U414)</f>
        <v>21.77</v>
      </c>
      <c r="I412" s="34"/>
      <c r="J412" s="27">
        <f>Source!AU187</f>
        <v>65</v>
      </c>
      <c r="K412" s="30">
        <f>SUM(V407:V414)</f>
        <v>146.07</v>
      </c>
      <c r="L412" s="32"/>
    </row>
    <row r="413" spans="1:26" ht="14.25" x14ac:dyDescent="0.2">
      <c r="A413" s="45"/>
      <c r="B413" s="46"/>
      <c r="C413" s="46" t="s">
        <v>1088</v>
      </c>
      <c r="D413" s="29" t="s">
        <v>1089</v>
      </c>
      <c r="E413" s="11">
        <f>Source!AQ187</f>
        <v>15.2</v>
      </c>
      <c r="F413" s="30"/>
      <c r="G413" s="31" t="str">
        <f>Source!DI187</f>
        <v>)*1,2</v>
      </c>
      <c r="H413" s="30"/>
      <c r="I413" s="31"/>
      <c r="J413" s="31"/>
      <c r="K413" s="30"/>
      <c r="L413" s="41">
        <f>Source!U187</f>
        <v>3.6479999999999997</v>
      </c>
    </row>
    <row r="414" spans="1:26" ht="42.75" x14ac:dyDescent="0.2">
      <c r="A414" s="47" t="str">
        <f>Source!E188</f>
        <v>38,1</v>
      </c>
      <c r="B414" s="48" t="str">
        <f>Source!F188</f>
        <v>24.3.01.02-0021</v>
      </c>
      <c r="C414" s="48" t="str">
        <f>Source!G188</f>
        <v>Трубы гибкие гофрированные легкие из самозатухающего ПВХ (IP55) серии FL, с зондом, диаметром 16 мм</v>
      </c>
      <c r="D414" s="35" t="str">
        <f>Source!H188</f>
        <v>10 м</v>
      </c>
      <c r="E414" s="36">
        <f>Source!I188</f>
        <v>2</v>
      </c>
      <c r="F414" s="37">
        <f>Source!AL188+Source!AM188+Source!AO188</f>
        <v>16.11</v>
      </c>
      <c r="G414" s="42" t="s">
        <v>6</v>
      </c>
      <c r="H414" s="37">
        <f>ROUND(Source!AC188*Source!I188, 2)+ROUND(Source!AD188*Source!I188, 2)+ROUND(Source!AF188*Source!I188, 2)</f>
        <v>32.22</v>
      </c>
      <c r="I414" s="38"/>
      <c r="J414" s="38">
        <f>IF(Source!BC188&lt;&gt; 0, Source!BC188, 1)</f>
        <v>6.71</v>
      </c>
      <c r="K414" s="37">
        <f>Source!O188</f>
        <v>216.2</v>
      </c>
      <c r="L414" s="43"/>
      <c r="S414">
        <f>ROUND((Source!FX188/100)*((ROUND(Source!AF188*Source!I188, 2)+ROUND(Source!AE188*Source!I188, 2))), 2)</f>
        <v>0</v>
      </c>
      <c r="T414">
        <f>Source!X188</f>
        <v>0</v>
      </c>
      <c r="U414">
        <f>ROUND((Source!FY188/100)*((ROUND(Source!AF188*Source!I188, 2)+ROUND(Source!AE188*Source!I188, 2))), 2)</f>
        <v>0</v>
      </c>
      <c r="V414">
        <f>Source!Y188</f>
        <v>0</v>
      </c>
      <c r="W414">
        <f>IF(Source!BI188&lt;=1,H414, 0)</f>
        <v>0</v>
      </c>
      <c r="X414">
        <f>IF(Source!BI188=2,H414, 0)</f>
        <v>32.22</v>
      </c>
      <c r="Y414">
        <f>IF(Source!BI188=3,H414, 0)</f>
        <v>0</v>
      </c>
      <c r="Z414">
        <f>IF(Source!BI188=4,H414, 0)</f>
        <v>0</v>
      </c>
    </row>
    <row r="415" spans="1:26" ht="15" x14ac:dyDescent="0.25">
      <c r="G415" s="69">
        <f>H409+H410+H411+H412+SUM(H414:H414)</f>
        <v>122.66</v>
      </c>
      <c r="H415" s="69"/>
      <c r="J415" s="69">
        <f>K409+K410+K411+K412+SUM(K414:K414)</f>
        <v>823</v>
      </c>
      <c r="K415" s="69"/>
      <c r="L415" s="40">
        <f>Source!U187</f>
        <v>3.6479999999999997</v>
      </c>
      <c r="O415" s="24">
        <f>G415</f>
        <v>122.66</v>
      </c>
      <c r="P415" s="24">
        <f>J415</f>
        <v>823</v>
      </c>
      <c r="Q415" s="24">
        <f>L415</f>
        <v>3.6479999999999997</v>
      </c>
      <c r="W415">
        <f>IF(Source!BI187&lt;=1,H409+H410+H411+H412, 0)</f>
        <v>0</v>
      </c>
      <c r="X415">
        <f>IF(Source!BI187=2,H409+H410+H411+H412, 0)</f>
        <v>90.44</v>
      </c>
      <c r="Y415">
        <f>IF(Source!BI187=3,H409+H410+H411+H412, 0)</f>
        <v>0</v>
      </c>
      <c r="Z415">
        <f>IF(Source!BI187=4,H409+H410+H411+H412, 0)</f>
        <v>0</v>
      </c>
    </row>
    <row r="416" spans="1:26" ht="71.25" x14ac:dyDescent="0.2">
      <c r="A416" s="45" t="str">
        <f>Source!E189</f>
        <v>39</v>
      </c>
      <c r="B416" s="46" t="str">
        <f>Source!F189</f>
        <v>м08-02-412-03</v>
      </c>
      <c r="C416" s="46" t="str">
        <f>Source!G189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416" s="29" t="str">
        <f>Source!H189</f>
        <v>100 м</v>
      </c>
      <c r="E416" s="11">
        <f>Source!I189</f>
        <v>0.2</v>
      </c>
      <c r="F416" s="30">
        <f>Source!AL189+Source!AM189+Source!AO189</f>
        <v>87.15</v>
      </c>
      <c r="G416" s="31"/>
      <c r="H416" s="30"/>
      <c r="I416" s="31" t="str">
        <f>Source!BO189</f>
        <v/>
      </c>
      <c r="J416" s="31"/>
      <c r="K416" s="30"/>
      <c r="L416" s="32"/>
      <c r="S416">
        <f>ROUND((Source!FX189/100)*((ROUND(Source!AF189*Source!I189, 2)+ROUND(Source!AE189*Source!I189, 2))), 2)</f>
        <v>13.65</v>
      </c>
      <c r="T416">
        <f>Source!X189</f>
        <v>91.63</v>
      </c>
      <c r="U416">
        <f>ROUND((Source!FY189/100)*((ROUND(Source!AF189*Source!I189, 2)+ROUND(Source!AE189*Source!I189, 2))), 2)</f>
        <v>9.34</v>
      </c>
      <c r="V416">
        <f>Source!Y189</f>
        <v>62.69</v>
      </c>
    </row>
    <row r="417" spans="1:26" x14ac:dyDescent="0.2">
      <c r="C417" s="23" t="str">
        <f>"Объем: "&amp;Source!I189&amp;"=20/"&amp;"100"</f>
        <v>Объем: 0,2=20/100</v>
      </c>
    </row>
    <row r="418" spans="1:26" ht="14.25" x14ac:dyDescent="0.2">
      <c r="A418" s="45"/>
      <c r="B418" s="46"/>
      <c r="C418" s="46" t="s">
        <v>1083</v>
      </c>
      <c r="D418" s="29"/>
      <c r="E418" s="11"/>
      <c r="F418" s="30">
        <f>Source!AO189</f>
        <v>59.13</v>
      </c>
      <c r="G418" s="31" t="str">
        <f>Source!DG189</f>
        <v>)*1,2</v>
      </c>
      <c r="H418" s="30">
        <f>ROUND(Source!AF189*Source!I189, 2)</f>
        <v>14.19</v>
      </c>
      <c r="I418" s="31"/>
      <c r="J418" s="31">
        <f>IF(Source!BA189&lt;&gt; 0, Source!BA189, 1)</f>
        <v>6.71</v>
      </c>
      <c r="K418" s="30">
        <f>Source!S189</f>
        <v>95.23</v>
      </c>
      <c r="L418" s="32"/>
      <c r="R418">
        <f>H418</f>
        <v>14.19</v>
      </c>
    </row>
    <row r="419" spans="1:26" ht="14.25" x14ac:dyDescent="0.2">
      <c r="A419" s="45"/>
      <c r="B419" s="46"/>
      <c r="C419" s="46" t="s">
        <v>139</v>
      </c>
      <c r="D419" s="29"/>
      <c r="E419" s="11"/>
      <c r="F419" s="30">
        <f>Source!AM189</f>
        <v>5.33</v>
      </c>
      <c r="G419" s="31" t="str">
        <f>Source!DE189</f>
        <v>)*1,2</v>
      </c>
      <c r="H419" s="30">
        <f>ROUND(Source!AD189*Source!I189, 2)</f>
        <v>1.28</v>
      </c>
      <c r="I419" s="31"/>
      <c r="J419" s="31">
        <f>IF(Source!BB189&lt;&gt; 0, Source!BB189, 1)</f>
        <v>6.71</v>
      </c>
      <c r="K419" s="30">
        <f>Source!Q189</f>
        <v>8.58</v>
      </c>
      <c r="L419" s="32"/>
    </row>
    <row r="420" spans="1:26" ht="14.25" x14ac:dyDescent="0.2">
      <c r="A420" s="45"/>
      <c r="B420" s="46"/>
      <c r="C420" s="46" t="s">
        <v>1084</v>
      </c>
      <c r="D420" s="29"/>
      <c r="E420" s="11"/>
      <c r="F420" s="30">
        <f>Source!AN189</f>
        <v>0.76</v>
      </c>
      <c r="G420" s="31" t="str">
        <f>Source!DF189</f>
        <v>)*1,2</v>
      </c>
      <c r="H420" s="33">
        <f>ROUND(Source!AE189*Source!I189, 2)</f>
        <v>0.18</v>
      </c>
      <c r="I420" s="31"/>
      <c r="J420" s="31">
        <f>IF(Source!BS189&lt;&gt; 0, Source!BS189, 1)</f>
        <v>6.71</v>
      </c>
      <c r="K420" s="33">
        <f>Source!R189</f>
        <v>1.22</v>
      </c>
      <c r="L420" s="32"/>
      <c r="R420">
        <f>H420</f>
        <v>0.18</v>
      </c>
    </row>
    <row r="421" spans="1:26" ht="14.25" x14ac:dyDescent="0.2">
      <c r="A421" s="45"/>
      <c r="B421" s="46"/>
      <c r="C421" s="46" t="s">
        <v>1090</v>
      </c>
      <c r="D421" s="29"/>
      <c r="E421" s="11"/>
      <c r="F421" s="30">
        <f>Source!AL189</f>
        <v>22.69</v>
      </c>
      <c r="G421" s="31" t="str">
        <f>Source!DD189</f>
        <v/>
      </c>
      <c r="H421" s="30">
        <f>ROUND(Source!AC189*Source!I189, 2)</f>
        <v>4.54</v>
      </c>
      <c r="I421" s="31"/>
      <c r="J421" s="31">
        <f>IF(Source!BC189&lt;&gt; 0, Source!BC189, 1)</f>
        <v>6.71</v>
      </c>
      <c r="K421" s="30">
        <f>Source!P189</f>
        <v>30.45</v>
      </c>
      <c r="L421" s="32"/>
    </row>
    <row r="422" spans="1:26" ht="14.25" x14ac:dyDescent="0.2">
      <c r="A422" s="45"/>
      <c r="B422" s="46"/>
      <c r="C422" s="46" t="s">
        <v>1085</v>
      </c>
      <c r="D422" s="29" t="s">
        <v>1086</v>
      </c>
      <c r="E422" s="11">
        <f>Source!BZ189</f>
        <v>95</v>
      </c>
      <c r="F422" s="49"/>
      <c r="G422" s="31"/>
      <c r="H422" s="30">
        <f>SUM(S416:S425)</f>
        <v>13.65</v>
      </c>
      <c r="I422" s="34"/>
      <c r="J422" s="27">
        <f>Source!AT189</f>
        <v>95</v>
      </c>
      <c r="K422" s="30">
        <f>SUM(T416:T425)</f>
        <v>91.63</v>
      </c>
      <c r="L422" s="32"/>
    </row>
    <row r="423" spans="1:26" ht="14.25" x14ac:dyDescent="0.2">
      <c r="A423" s="45"/>
      <c r="B423" s="46"/>
      <c r="C423" s="46" t="s">
        <v>1087</v>
      </c>
      <c r="D423" s="29" t="s">
        <v>1086</v>
      </c>
      <c r="E423" s="11">
        <f>Source!CA189</f>
        <v>65</v>
      </c>
      <c r="F423" s="49"/>
      <c r="G423" s="31"/>
      <c r="H423" s="30">
        <f>SUM(U416:U425)</f>
        <v>9.34</v>
      </c>
      <c r="I423" s="34"/>
      <c r="J423" s="27">
        <f>Source!AU189</f>
        <v>65</v>
      </c>
      <c r="K423" s="30">
        <f>SUM(V416:V425)</f>
        <v>62.69</v>
      </c>
      <c r="L423" s="32"/>
    </row>
    <row r="424" spans="1:26" ht="14.25" x14ac:dyDescent="0.2">
      <c r="A424" s="45"/>
      <c r="B424" s="46"/>
      <c r="C424" s="46" t="s">
        <v>1088</v>
      </c>
      <c r="D424" s="29" t="s">
        <v>1089</v>
      </c>
      <c r="E424" s="11">
        <f>Source!AQ189</f>
        <v>6.29</v>
      </c>
      <c r="F424" s="30"/>
      <c r="G424" s="31" t="str">
        <f>Source!DI189</f>
        <v>)*1,2</v>
      </c>
      <c r="H424" s="30"/>
      <c r="I424" s="31"/>
      <c r="J424" s="31"/>
      <c r="K424" s="30"/>
      <c r="L424" s="41">
        <f>Source!U189</f>
        <v>1.5096000000000001</v>
      </c>
    </row>
    <row r="425" spans="1:26" ht="85.5" x14ac:dyDescent="0.2">
      <c r="A425" s="47" t="str">
        <f>Source!E190</f>
        <v>39,1</v>
      </c>
      <c r="B425" s="48" t="str">
        <f>Source!F190</f>
        <v>21.1.06.09-0152</v>
      </c>
      <c r="C425" s="48" t="str">
        <f>Source!G190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425" s="35" t="str">
        <f>Source!H190</f>
        <v>1000 м</v>
      </c>
      <c r="E425" s="36">
        <f>Source!I190</f>
        <v>0.02</v>
      </c>
      <c r="F425" s="37">
        <f>Source!AL190+Source!AM190+Source!AO190</f>
        <v>6920.41</v>
      </c>
      <c r="G425" s="42" t="s">
        <v>6</v>
      </c>
      <c r="H425" s="37">
        <f>ROUND(Source!AC190*Source!I190, 2)+ROUND(Source!AD190*Source!I190, 2)+ROUND(Source!AF190*Source!I190, 2)</f>
        <v>138.41</v>
      </c>
      <c r="I425" s="38"/>
      <c r="J425" s="38">
        <f>IF(Source!BC190&lt;&gt; 0, Source!BC190, 1)</f>
        <v>6.71</v>
      </c>
      <c r="K425" s="37">
        <f>Source!O190</f>
        <v>928.72</v>
      </c>
      <c r="L425" s="43"/>
      <c r="S425">
        <f>ROUND((Source!FX190/100)*((ROUND(Source!AF190*Source!I190, 2)+ROUND(Source!AE190*Source!I190, 2))), 2)</f>
        <v>0</v>
      </c>
      <c r="T425">
        <f>Source!X190</f>
        <v>0</v>
      </c>
      <c r="U425">
        <f>ROUND((Source!FY190/100)*((ROUND(Source!AF190*Source!I190, 2)+ROUND(Source!AE190*Source!I190, 2))), 2)</f>
        <v>0</v>
      </c>
      <c r="V425">
        <f>Source!Y190</f>
        <v>0</v>
      </c>
      <c r="W425">
        <f>IF(Source!BI190&lt;=1,H425, 0)</f>
        <v>0</v>
      </c>
      <c r="X425">
        <f>IF(Source!BI190=2,H425, 0)</f>
        <v>138.41</v>
      </c>
      <c r="Y425">
        <f>IF(Source!BI190=3,H425, 0)</f>
        <v>0</v>
      </c>
      <c r="Z425">
        <f>IF(Source!BI190=4,H425, 0)</f>
        <v>0</v>
      </c>
    </row>
    <row r="426" spans="1:26" ht="15" x14ac:dyDescent="0.25">
      <c r="G426" s="69">
        <f>H418+H419+H421+H422+H423+SUM(H425:H425)</f>
        <v>181.41</v>
      </c>
      <c r="H426" s="69"/>
      <c r="J426" s="69">
        <f>K418+K419+K421+K422+K423+SUM(K425:K425)</f>
        <v>1217.3</v>
      </c>
      <c r="K426" s="69"/>
      <c r="L426" s="40">
        <f>Source!U189</f>
        <v>1.5096000000000001</v>
      </c>
      <c r="O426" s="24">
        <f>G426</f>
        <v>181.41</v>
      </c>
      <c r="P426" s="24">
        <f>J426</f>
        <v>1217.3</v>
      </c>
      <c r="Q426" s="24">
        <f>L426</f>
        <v>1.5096000000000001</v>
      </c>
      <c r="W426">
        <f>IF(Source!BI189&lt;=1,H418+H419+H421+H422+H423, 0)</f>
        <v>0</v>
      </c>
      <c r="X426">
        <f>IF(Source!BI189=2,H418+H419+H421+H422+H423, 0)</f>
        <v>43</v>
      </c>
      <c r="Y426">
        <f>IF(Source!BI189=3,H418+H419+H421+H422+H423, 0)</f>
        <v>0</v>
      </c>
      <c r="Z426">
        <f>IF(Source!BI189=4,H418+H419+H421+H422+H423, 0)</f>
        <v>0</v>
      </c>
    </row>
    <row r="427" spans="1:26" ht="28.5" x14ac:dyDescent="0.2">
      <c r="A427" s="45" t="str">
        <f>Source!E191</f>
        <v>40</v>
      </c>
      <c r="B427" s="46" t="str">
        <f>Source!F191</f>
        <v>м08-02-390-03</v>
      </c>
      <c r="C427" s="46" t="str">
        <f>Source!G191</f>
        <v>Короба пластмассовые шириной до 120 мм</v>
      </c>
      <c r="D427" s="29" t="str">
        <f>Source!H191</f>
        <v>100 м</v>
      </c>
      <c r="E427" s="11">
        <f>Source!I191</f>
        <v>2.78</v>
      </c>
      <c r="F427" s="30">
        <f>Source!AL191+Source!AM191+Source!AO191</f>
        <v>286.92</v>
      </c>
      <c r="G427" s="31"/>
      <c r="H427" s="30"/>
      <c r="I427" s="31" t="str">
        <f>Source!BO191</f>
        <v/>
      </c>
      <c r="J427" s="31"/>
      <c r="K427" s="30"/>
      <c r="L427" s="32"/>
      <c r="S427">
        <f>ROUND((Source!FX191/100)*((ROUND(Source!AF191*Source!I191, 2)+ROUND(Source!AE191*Source!I191, 2))), 2)</f>
        <v>613.19000000000005</v>
      </c>
      <c r="T427">
        <f>Source!X191</f>
        <v>4114.49</v>
      </c>
      <c r="U427">
        <f>ROUND((Source!FY191/100)*((ROUND(Source!AF191*Source!I191, 2)+ROUND(Source!AE191*Source!I191, 2))), 2)</f>
        <v>419.55</v>
      </c>
      <c r="V427">
        <f>Source!Y191</f>
        <v>2815.18</v>
      </c>
    </row>
    <row r="428" spans="1:26" x14ac:dyDescent="0.2">
      <c r="C428" s="23" t="str">
        <f>"Объем: "&amp;Source!I191&amp;"=278/"&amp;"100"</f>
        <v>Объем: 2,78=278/100</v>
      </c>
    </row>
    <row r="429" spans="1:26" ht="14.25" x14ac:dyDescent="0.2">
      <c r="A429" s="45"/>
      <c r="B429" s="46"/>
      <c r="C429" s="46" t="s">
        <v>1083</v>
      </c>
      <c r="D429" s="29"/>
      <c r="E429" s="11"/>
      <c r="F429" s="30">
        <f>Source!AO191</f>
        <v>193.34</v>
      </c>
      <c r="G429" s="31" t="str">
        <f>Source!DG191</f>
        <v>)*1,2</v>
      </c>
      <c r="H429" s="30">
        <f>ROUND(Source!AF191*Source!I191, 2)</f>
        <v>644.99</v>
      </c>
      <c r="I429" s="31"/>
      <c r="J429" s="31">
        <f>IF(Source!BA191&lt;&gt; 0, Source!BA191, 1)</f>
        <v>6.71</v>
      </c>
      <c r="K429" s="30">
        <f>Source!S191</f>
        <v>4327.87</v>
      </c>
      <c r="L429" s="32"/>
      <c r="R429">
        <f>H429</f>
        <v>644.99</v>
      </c>
    </row>
    <row r="430" spans="1:26" ht="14.25" x14ac:dyDescent="0.2">
      <c r="A430" s="45"/>
      <c r="B430" s="46"/>
      <c r="C430" s="46" t="s">
        <v>139</v>
      </c>
      <c r="D430" s="29"/>
      <c r="E430" s="11"/>
      <c r="F430" s="30">
        <f>Source!AM191</f>
        <v>0.31</v>
      </c>
      <c r="G430" s="31" t="str">
        <f>Source!DE191</f>
        <v>)*1,2</v>
      </c>
      <c r="H430" s="30">
        <f>ROUND(Source!AD191*Source!I191, 2)</f>
        <v>1.03</v>
      </c>
      <c r="I430" s="31"/>
      <c r="J430" s="31">
        <f>IF(Source!BB191&lt;&gt; 0, Source!BB191, 1)</f>
        <v>6.71</v>
      </c>
      <c r="K430" s="30">
        <f>Source!Q191</f>
        <v>6.9</v>
      </c>
      <c r="L430" s="32"/>
    </row>
    <row r="431" spans="1:26" ht="14.25" x14ac:dyDescent="0.2">
      <c r="A431" s="45"/>
      <c r="B431" s="46"/>
      <c r="C431" s="46" t="s">
        <v>1084</v>
      </c>
      <c r="D431" s="29"/>
      <c r="E431" s="11"/>
      <c r="F431" s="30">
        <f>Source!AN191</f>
        <v>0.14000000000000001</v>
      </c>
      <c r="G431" s="31" t="str">
        <f>Source!DF191</f>
        <v>)*1,2</v>
      </c>
      <c r="H431" s="33">
        <f>ROUND(Source!AE191*Source!I191, 2)</f>
        <v>0.47</v>
      </c>
      <c r="I431" s="31"/>
      <c r="J431" s="31">
        <f>IF(Source!BS191&lt;&gt; 0, Source!BS191, 1)</f>
        <v>6.71</v>
      </c>
      <c r="K431" s="33">
        <f>Source!R191</f>
        <v>3.17</v>
      </c>
      <c r="L431" s="32"/>
      <c r="R431">
        <f>H431</f>
        <v>0.47</v>
      </c>
    </row>
    <row r="432" spans="1:26" ht="14.25" x14ac:dyDescent="0.2">
      <c r="A432" s="45"/>
      <c r="B432" s="46"/>
      <c r="C432" s="46" t="s">
        <v>1090</v>
      </c>
      <c r="D432" s="29"/>
      <c r="E432" s="11"/>
      <c r="F432" s="30">
        <f>Source!AL191</f>
        <v>93.27</v>
      </c>
      <c r="G432" s="31" t="str">
        <f>Source!DD191</f>
        <v/>
      </c>
      <c r="H432" s="30">
        <f>ROUND(Source!AC191*Source!I191, 2)</f>
        <v>259.29000000000002</v>
      </c>
      <c r="I432" s="31"/>
      <c r="J432" s="31">
        <f>IF(Source!BC191&lt;&gt; 0, Source!BC191, 1)</f>
        <v>6.71</v>
      </c>
      <c r="K432" s="30">
        <f>Source!P191</f>
        <v>1739.84</v>
      </c>
      <c r="L432" s="32"/>
    </row>
    <row r="433" spans="1:26" ht="14.25" x14ac:dyDescent="0.2">
      <c r="A433" s="45"/>
      <c r="B433" s="46"/>
      <c r="C433" s="46" t="s">
        <v>1085</v>
      </c>
      <c r="D433" s="29" t="s">
        <v>1086</v>
      </c>
      <c r="E433" s="11">
        <f>Source!BZ191</f>
        <v>95</v>
      </c>
      <c r="F433" s="49"/>
      <c r="G433" s="31"/>
      <c r="H433" s="30">
        <f>SUM(S427:S436)</f>
        <v>613.19000000000005</v>
      </c>
      <c r="I433" s="34"/>
      <c r="J433" s="27">
        <f>Source!AT191</f>
        <v>95</v>
      </c>
      <c r="K433" s="30">
        <f>SUM(T427:T436)</f>
        <v>4114.49</v>
      </c>
      <c r="L433" s="32"/>
    </row>
    <row r="434" spans="1:26" ht="14.25" x14ac:dyDescent="0.2">
      <c r="A434" s="45"/>
      <c r="B434" s="46"/>
      <c r="C434" s="46" t="s">
        <v>1087</v>
      </c>
      <c r="D434" s="29" t="s">
        <v>1086</v>
      </c>
      <c r="E434" s="11">
        <f>Source!CA191</f>
        <v>65</v>
      </c>
      <c r="F434" s="49"/>
      <c r="G434" s="31"/>
      <c r="H434" s="30">
        <f>SUM(U427:U436)</f>
        <v>419.55</v>
      </c>
      <c r="I434" s="34"/>
      <c r="J434" s="27">
        <f>Source!AU191</f>
        <v>65</v>
      </c>
      <c r="K434" s="30">
        <f>SUM(V427:V436)</f>
        <v>2815.18</v>
      </c>
      <c r="L434" s="32"/>
    </row>
    <row r="435" spans="1:26" ht="14.25" x14ac:dyDescent="0.2">
      <c r="A435" s="45"/>
      <c r="B435" s="46"/>
      <c r="C435" s="46" t="s">
        <v>1088</v>
      </c>
      <c r="D435" s="29" t="s">
        <v>1089</v>
      </c>
      <c r="E435" s="11">
        <f>Source!AQ191</f>
        <v>20.329999999999998</v>
      </c>
      <c r="F435" s="30"/>
      <c r="G435" s="31" t="str">
        <f>Source!DI191</f>
        <v>)*1,2</v>
      </c>
      <c r="H435" s="30"/>
      <c r="I435" s="31"/>
      <c r="J435" s="31"/>
      <c r="K435" s="30"/>
      <c r="L435" s="41">
        <f>Source!U191</f>
        <v>67.820879999999988</v>
      </c>
    </row>
    <row r="436" spans="1:26" ht="28.5" x14ac:dyDescent="0.2">
      <c r="A436" s="47" t="str">
        <f>Source!E192</f>
        <v>40,1</v>
      </c>
      <c r="B436" s="48" t="str">
        <f>Source!F192</f>
        <v>20.2.05.04-0014</v>
      </c>
      <c r="C436" s="48" t="str">
        <f>Source!G192</f>
        <v>Кабель-канал (короб) "Legrand" 40х100 мм</v>
      </c>
      <c r="D436" s="35" t="str">
        <f>Source!H192</f>
        <v>100 м</v>
      </c>
      <c r="E436" s="36">
        <f>Source!I192</f>
        <v>2.78</v>
      </c>
      <c r="F436" s="37">
        <f>Source!AL192+Source!AM192+Source!AO192</f>
        <v>7153.01</v>
      </c>
      <c r="G436" s="42" t="s">
        <v>6</v>
      </c>
      <c r="H436" s="37">
        <f>ROUND(Source!AC192*Source!I192, 2)+ROUND(Source!AD192*Source!I192, 2)+ROUND(Source!AF192*Source!I192, 2)</f>
        <v>19885.37</v>
      </c>
      <c r="I436" s="38"/>
      <c r="J436" s="38">
        <f>IF(Source!BC192&lt;&gt; 0, Source!BC192, 1)</f>
        <v>6.71</v>
      </c>
      <c r="K436" s="37">
        <f>Source!O192</f>
        <v>133430.82</v>
      </c>
      <c r="L436" s="43"/>
      <c r="S436">
        <f>ROUND((Source!FX192/100)*((ROUND(Source!AF192*Source!I192, 2)+ROUND(Source!AE192*Source!I192, 2))), 2)</f>
        <v>0</v>
      </c>
      <c r="T436">
        <f>Source!X192</f>
        <v>0</v>
      </c>
      <c r="U436">
        <f>ROUND((Source!FY192/100)*((ROUND(Source!AF192*Source!I192, 2)+ROUND(Source!AE192*Source!I192, 2))), 2)</f>
        <v>0</v>
      </c>
      <c r="V436">
        <f>Source!Y192</f>
        <v>0</v>
      </c>
      <c r="W436">
        <f>IF(Source!BI192&lt;=1,H436, 0)</f>
        <v>0</v>
      </c>
      <c r="X436">
        <f>IF(Source!BI192=2,H436, 0)</f>
        <v>19885.37</v>
      </c>
      <c r="Y436">
        <f>IF(Source!BI192=3,H436, 0)</f>
        <v>0</v>
      </c>
      <c r="Z436">
        <f>IF(Source!BI192=4,H436, 0)</f>
        <v>0</v>
      </c>
    </row>
    <row r="437" spans="1:26" ht="15" x14ac:dyDescent="0.25">
      <c r="G437" s="69">
        <f>H429+H430+H432+H433+H434+SUM(H436:H436)</f>
        <v>21823.42</v>
      </c>
      <c r="H437" s="69"/>
      <c r="J437" s="69">
        <f>K429+K430+K432+K433+K434+SUM(K436:K436)</f>
        <v>146435.1</v>
      </c>
      <c r="K437" s="69"/>
      <c r="L437" s="40">
        <f>Source!U191</f>
        <v>67.820879999999988</v>
      </c>
      <c r="O437" s="24">
        <f>G437</f>
        <v>21823.42</v>
      </c>
      <c r="P437" s="24">
        <f>J437</f>
        <v>146435.1</v>
      </c>
      <c r="Q437" s="24">
        <f>L437</f>
        <v>67.820879999999988</v>
      </c>
      <c r="W437">
        <f>IF(Source!BI191&lt;=1,H429+H430+H432+H433+H434, 0)</f>
        <v>0</v>
      </c>
      <c r="X437">
        <f>IF(Source!BI191=2,H429+H430+H432+H433+H434, 0)</f>
        <v>1938.05</v>
      </c>
      <c r="Y437">
        <f>IF(Source!BI191=3,H429+H430+H432+H433+H434, 0)</f>
        <v>0</v>
      </c>
      <c r="Z437">
        <f>IF(Source!BI191=4,H429+H430+H432+H433+H434, 0)</f>
        <v>0</v>
      </c>
    </row>
    <row r="438" spans="1:26" ht="28.5" x14ac:dyDescent="0.2">
      <c r="A438" s="45" t="str">
        <f>Source!E193</f>
        <v>41</v>
      </c>
      <c r="B438" s="46" t="str">
        <f>Source!F193</f>
        <v>м08-02-390-01</v>
      </c>
      <c r="C438" s="46" t="str">
        <f>Source!G193</f>
        <v>Короба пластмассовые шириной до 40 мм</v>
      </c>
      <c r="D438" s="29" t="str">
        <f>Source!H193</f>
        <v>100 м</v>
      </c>
      <c r="E438" s="11">
        <f>Source!I193</f>
        <v>1.49</v>
      </c>
      <c r="F438" s="30">
        <f>Source!AL193+Source!AM193+Source!AO193</f>
        <v>206.76</v>
      </c>
      <c r="G438" s="31"/>
      <c r="H438" s="30"/>
      <c r="I438" s="31" t="str">
        <f>Source!BO193</f>
        <v/>
      </c>
      <c r="J438" s="31"/>
      <c r="K438" s="30"/>
      <c r="L438" s="32"/>
      <c r="S438">
        <f>ROUND((Source!FX193/100)*((ROUND(Source!AF193*Source!I193, 2)+ROUND(Source!AE193*Source!I193, 2))), 2)</f>
        <v>263.38</v>
      </c>
      <c r="T438">
        <f>Source!X193</f>
        <v>1767.29</v>
      </c>
      <c r="U438">
        <f>ROUND((Source!FY193/100)*((ROUND(Source!AF193*Source!I193, 2)+ROUND(Source!AE193*Source!I193, 2))), 2)</f>
        <v>180.21</v>
      </c>
      <c r="V438">
        <f>Source!Y193</f>
        <v>1209.2</v>
      </c>
    </row>
    <row r="439" spans="1:26" x14ac:dyDescent="0.2">
      <c r="C439" s="23" t="str">
        <f>"Объем: "&amp;Source!I193&amp;"=149/"&amp;"100"</f>
        <v>Объем: 1,49=149/100</v>
      </c>
    </row>
    <row r="440" spans="1:26" ht="14.25" x14ac:dyDescent="0.2">
      <c r="A440" s="45"/>
      <c r="B440" s="46"/>
      <c r="C440" s="46" t="s">
        <v>1083</v>
      </c>
      <c r="D440" s="29"/>
      <c r="E440" s="11"/>
      <c r="F440" s="30">
        <f>Source!AO193</f>
        <v>154.91999999999999</v>
      </c>
      <c r="G440" s="31" t="str">
        <f>Source!DG193</f>
        <v>)*1,2</v>
      </c>
      <c r="H440" s="30">
        <f>ROUND(Source!AF193*Source!I193, 2)</f>
        <v>276.99</v>
      </c>
      <c r="I440" s="31"/>
      <c r="J440" s="31">
        <f>IF(Source!BA193&lt;&gt; 0, Source!BA193, 1)</f>
        <v>6.71</v>
      </c>
      <c r="K440" s="30">
        <f>Source!S193</f>
        <v>1858.61</v>
      </c>
      <c r="L440" s="32"/>
      <c r="R440">
        <f>H440</f>
        <v>276.99</v>
      </c>
    </row>
    <row r="441" spans="1:26" ht="14.25" x14ac:dyDescent="0.2">
      <c r="A441" s="45"/>
      <c r="B441" s="46"/>
      <c r="C441" s="46" t="s">
        <v>139</v>
      </c>
      <c r="D441" s="29"/>
      <c r="E441" s="11"/>
      <c r="F441" s="30">
        <f>Source!AM193</f>
        <v>0.31</v>
      </c>
      <c r="G441" s="31" t="str">
        <f>Source!DE193</f>
        <v>)*1,2</v>
      </c>
      <c r="H441" s="30">
        <f>ROUND(Source!AD193*Source!I193, 2)</f>
        <v>0.55000000000000004</v>
      </c>
      <c r="I441" s="31"/>
      <c r="J441" s="31">
        <f>IF(Source!BB193&lt;&gt; 0, Source!BB193, 1)</f>
        <v>6.71</v>
      </c>
      <c r="K441" s="30">
        <f>Source!Q193</f>
        <v>3.7</v>
      </c>
      <c r="L441" s="32"/>
    </row>
    <row r="442" spans="1:26" ht="14.25" x14ac:dyDescent="0.2">
      <c r="A442" s="45"/>
      <c r="B442" s="46"/>
      <c r="C442" s="46" t="s">
        <v>1084</v>
      </c>
      <c r="D442" s="29"/>
      <c r="E442" s="11"/>
      <c r="F442" s="30">
        <f>Source!AN193</f>
        <v>0.14000000000000001</v>
      </c>
      <c r="G442" s="31" t="str">
        <f>Source!DF193</f>
        <v>)*1,2</v>
      </c>
      <c r="H442" s="33">
        <f>ROUND(Source!AE193*Source!I193, 2)</f>
        <v>0.25</v>
      </c>
      <c r="I442" s="31"/>
      <c r="J442" s="31">
        <f>IF(Source!BS193&lt;&gt; 0, Source!BS193, 1)</f>
        <v>6.71</v>
      </c>
      <c r="K442" s="33">
        <f>Source!R193</f>
        <v>1.7</v>
      </c>
      <c r="L442" s="32"/>
      <c r="R442">
        <f>H442</f>
        <v>0.25</v>
      </c>
    </row>
    <row r="443" spans="1:26" ht="14.25" x14ac:dyDescent="0.2">
      <c r="A443" s="45"/>
      <c r="B443" s="46"/>
      <c r="C443" s="46" t="s">
        <v>1090</v>
      </c>
      <c r="D443" s="29"/>
      <c r="E443" s="11"/>
      <c r="F443" s="30">
        <f>Source!AL193</f>
        <v>51.53</v>
      </c>
      <c r="G443" s="31" t="str">
        <f>Source!DD193</f>
        <v/>
      </c>
      <c r="H443" s="30">
        <f>ROUND(Source!AC193*Source!I193, 2)</f>
        <v>76.78</v>
      </c>
      <c r="I443" s="31"/>
      <c r="J443" s="31">
        <f>IF(Source!BC193&lt;&gt; 0, Source!BC193, 1)</f>
        <v>6.71</v>
      </c>
      <c r="K443" s="30">
        <f>Source!P193</f>
        <v>515.19000000000005</v>
      </c>
      <c r="L443" s="32"/>
    </row>
    <row r="444" spans="1:26" ht="14.25" x14ac:dyDescent="0.2">
      <c r="A444" s="45"/>
      <c r="B444" s="46"/>
      <c r="C444" s="46" t="s">
        <v>1085</v>
      </c>
      <c r="D444" s="29" t="s">
        <v>1086</v>
      </c>
      <c r="E444" s="11">
        <f>Source!BZ193</f>
        <v>95</v>
      </c>
      <c r="F444" s="49"/>
      <c r="G444" s="31"/>
      <c r="H444" s="30">
        <f>SUM(S438:S447)</f>
        <v>263.38</v>
      </c>
      <c r="I444" s="34"/>
      <c r="J444" s="27">
        <f>Source!AT193</f>
        <v>95</v>
      </c>
      <c r="K444" s="30">
        <f>SUM(T438:T447)</f>
        <v>1767.29</v>
      </c>
      <c r="L444" s="32"/>
    </row>
    <row r="445" spans="1:26" ht="14.25" x14ac:dyDescent="0.2">
      <c r="A445" s="45"/>
      <c r="B445" s="46"/>
      <c r="C445" s="46" t="s">
        <v>1087</v>
      </c>
      <c r="D445" s="29" t="s">
        <v>1086</v>
      </c>
      <c r="E445" s="11">
        <f>Source!CA193</f>
        <v>65</v>
      </c>
      <c r="F445" s="49"/>
      <c r="G445" s="31"/>
      <c r="H445" s="30">
        <f>SUM(U438:U447)</f>
        <v>180.21</v>
      </c>
      <c r="I445" s="34"/>
      <c r="J445" s="27">
        <f>Source!AU193</f>
        <v>65</v>
      </c>
      <c r="K445" s="30">
        <f>SUM(V438:V447)</f>
        <v>1209.2</v>
      </c>
      <c r="L445" s="32"/>
    </row>
    <row r="446" spans="1:26" ht="14.25" x14ac:dyDescent="0.2">
      <c r="A446" s="45"/>
      <c r="B446" s="46"/>
      <c r="C446" s="46" t="s">
        <v>1088</v>
      </c>
      <c r="D446" s="29" t="s">
        <v>1089</v>
      </c>
      <c r="E446" s="11">
        <f>Source!AQ193</f>
        <v>16.29</v>
      </c>
      <c r="F446" s="30"/>
      <c r="G446" s="31" t="str">
        <f>Source!DI193</f>
        <v>)*1,2</v>
      </c>
      <c r="H446" s="30"/>
      <c r="I446" s="31"/>
      <c r="J446" s="31"/>
      <c r="K446" s="30"/>
      <c r="L446" s="41">
        <f>Source!U193</f>
        <v>29.126519999999996</v>
      </c>
    </row>
    <row r="447" spans="1:26" ht="28.5" x14ac:dyDescent="0.2">
      <c r="A447" s="47" t="str">
        <f>Source!E194</f>
        <v>41,1</v>
      </c>
      <c r="B447" s="48" t="str">
        <f>Source!F194</f>
        <v>20.2.05.04-0011</v>
      </c>
      <c r="C447" s="48" t="str">
        <f>Source!G194</f>
        <v>Кабель-канал (короб) "Legrand" 20х10 мм прим.</v>
      </c>
      <c r="D447" s="35" t="str">
        <f>Source!H194</f>
        <v>100 м</v>
      </c>
      <c r="E447" s="36">
        <f>Source!I194</f>
        <v>1.49</v>
      </c>
      <c r="F447" s="37">
        <f>Source!AL194+Source!AM194+Source!AO194</f>
        <v>715</v>
      </c>
      <c r="G447" s="42" t="s">
        <v>6</v>
      </c>
      <c r="H447" s="37">
        <f>ROUND(Source!AC194*Source!I194, 2)+ROUND(Source!AD194*Source!I194, 2)+ROUND(Source!AF194*Source!I194, 2)</f>
        <v>1065.3499999999999</v>
      </c>
      <c r="I447" s="38"/>
      <c r="J447" s="38">
        <f>IF(Source!BC194&lt;&gt; 0, Source!BC194, 1)</f>
        <v>6.71</v>
      </c>
      <c r="K447" s="37">
        <f>Source!O194</f>
        <v>7148.5</v>
      </c>
      <c r="L447" s="43"/>
      <c r="S447">
        <f>ROUND((Source!FX194/100)*((ROUND(Source!AF194*Source!I194, 2)+ROUND(Source!AE194*Source!I194, 2))), 2)</f>
        <v>0</v>
      </c>
      <c r="T447">
        <f>Source!X194</f>
        <v>0</v>
      </c>
      <c r="U447">
        <f>ROUND((Source!FY194/100)*((ROUND(Source!AF194*Source!I194, 2)+ROUND(Source!AE194*Source!I194, 2))), 2)</f>
        <v>0</v>
      </c>
      <c r="V447">
        <f>Source!Y194</f>
        <v>0</v>
      </c>
      <c r="W447">
        <f>IF(Source!BI194&lt;=1,H447, 0)</f>
        <v>0</v>
      </c>
      <c r="X447">
        <f>IF(Source!BI194=2,H447, 0)</f>
        <v>1065.3499999999999</v>
      </c>
      <c r="Y447">
        <f>IF(Source!BI194=3,H447, 0)</f>
        <v>0</v>
      </c>
      <c r="Z447">
        <f>IF(Source!BI194=4,H447, 0)</f>
        <v>0</v>
      </c>
    </row>
    <row r="448" spans="1:26" ht="15" x14ac:dyDescent="0.25">
      <c r="G448" s="69">
        <f>H440+H441+H443+H444+H445+SUM(H447:H447)</f>
        <v>1863.26</v>
      </c>
      <c r="H448" s="69"/>
      <c r="J448" s="69">
        <f>K440+K441+K443+K444+K445+SUM(K447:K447)</f>
        <v>12502.49</v>
      </c>
      <c r="K448" s="69"/>
      <c r="L448" s="40">
        <f>Source!U193</f>
        <v>29.126519999999996</v>
      </c>
      <c r="O448" s="24">
        <f>G448</f>
        <v>1863.26</v>
      </c>
      <c r="P448" s="24">
        <f>J448</f>
        <v>12502.49</v>
      </c>
      <c r="Q448" s="24">
        <f>L448</f>
        <v>29.126519999999996</v>
      </c>
      <c r="W448">
        <f>IF(Source!BI193&lt;=1,H440+H441+H443+H444+H445, 0)</f>
        <v>0</v>
      </c>
      <c r="X448">
        <f>IF(Source!BI193=2,H440+H441+H443+H444+H445, 0)</f>
        <v>797.91000000000008</v>
      </c>
      <c r="Y448">
        <f>IF(Source!BI193=3,H440+H441+H443+H444+H445, 0)</f>
        <v>0</v>
      </c>
      <c r="Z448">
        <f>IF(Source!BI193=4,H440+H441+H443+H444+H445, 0)</f>
        <v>0</v>
      </c>
    </row>
    <row r="449" spans="1:26" ht="28.5" x14ac:dyDescent="0.2">
      <c r="A449" s="45" t="str">
        <f>Source!E195</f>
        <v>42</v>
      </c>
      <c r="B449" s="46" t="str">
        <f>Source!F195</f>
        <v>м08-02-399-02</v>
      </c>
      <c r="C449" s="46" t="str">
        <f>Source!G195</f>
        <v>Провод в коробах, сечением до 35 мм2</v>
      </c>
      <c r="D449" s="29" t="str">
        <f>Source!H195</f>
        <v>100 м</v>
      </c>
      <c r="E449" s="11">
        <f>Source!I195</f>
        <v>2.78</v>
      </c>
      <c r="F449" s="30">
        <f>Source!AL195+Source!AM195+Source!AO195</f>
        <v>50.72</v>
      </c>
      <c r="G449" s="31"/>
      <c r="H449" s="30"/>
      <c r="I449" s="31" t="str">
        <f>Source!BO195</f>
        <v/>
      </c>
      <c r="J449" s="31"/>
      <c r="K449" s="30"/>
      <c r="L449" s="32"/>
      <c r="S449">
        <f>ROUND((Source!FX195/100)*((ROUND(Source!AF195*Source!I195, 2)+ROUND(Source!AE195*Source!I195, 2))), 2)</f>
        <v>112.82</v>
      </c>
      <c r="T449">
        <f>Source!X195</f>
        <v>757.05</v>
      </c>
      <c r="U449">
        <f>ROUND((Source!FY195/100)*((ROUND(Source!AF195*Source!I195, 2)+ROUND(Source!AE195*Source!I195, 2))), 2)</f>
        <v>77.19</v>
      </c>
      <c r="V449">
        <f>Source!Y195</f>
        <v>517.98</v>
      </c>
    </row>
    <row r="450" spans="1:26" x14ac:dyDescent="0.2">
      <c r="C450" s="23" t="str">
        <f>"Объем: "&amp;Source!I195&amp;"=278/"&amp;"100"</f>
        <v>Объем: 2,78=278/100</v>
      </c>
    </row>
    <row r="451" spans="1:26" ht="14.25" x14ac:dyDescent="0.2">
      <c r="A451" s="45"/>
      <c r="B451" s="46"/>
      <c r="C451" s="46" t="s">
        <v>1083</v>
      </c>
      <c r="D451" s="29"/>
      <c r="E451" s="11"/>
      <c r="F451" s="30">
        <f>Source!AO195</f>
        <v>35.340000000000003</v>
      </c>
      <c r="G451" s="31" t="str">
        <f>Source!DG195</f>
        <v>)*1,2</v>
      </c>
      <c r="H451" s="30">
        <f>ROUND(Source!AF195*Source!I195, 2)</f>
        <v>117.9</v>
      </c>
      <c r="I451" s="31"/>
      <c r="J451" s="31">
        <f>IF(Source!BA195&lt;&gt; 0, Source!BA195, 1)</f>
        <v>6.71</v>
      </c>
      <c r="K451" s="30">
        <f>Source!S195</f>
        <v>791.11</v>
      </c>
      <c r="L451" s="32"/>
      <c r="R451">
        <f>H451</f>
        <v>117.9</v>
      </c>
    </row>
    <row r="452" spans="1:26" ht="14.25" x14ac:dyDescent="0.2">
      <c r="A452" s="45"/>
      <c r="B452" s="46"/>
      <c r="C452" s="46" t="s">
        <v>139</v>
      </c>
      <c r="D452" s="29"/>
      <c r="E452" s="11"/>
      <c r="F452" s="30">
        <f>Source!AM195</f>
        <v>1.78</v>
      </c>
      <c r="G452" s="31" t="str">
        <f>Source!DE195</f>
        <v>)*1,2</v>
      </c>
      <c r="H452" s="30">
        <f>ROUND(Source!AD195*Source!I195, 2)</f>
        <v>5.92</v>
      </c>
      <c r="I452" s="31"/>
      <c r="J452" s="31">
        <f>IF(Source!BB195&lt;&gt; 0, Source!BB195, 1)</f>
        <v>6.71</v>
      </c>
      <c r="K452" s="30">
        <f>Source!Q195</f>
        <v>39.729999999999997</v>
      </c>
      <c r="L452" s="32"/>
    </row>
    <row r="453" spans="1:26" ht="14.25" x14ac:dyDescent="0.2">
      <c r="A453" s="45"/>
      <c r="B453" s="46"/>
      <c r="C453" s="46" t="s">
        <v>1084</v>
      </c>
      <c r="D453" s="29"/>
      <c r="E453" s="11"/>
      <c r="F453" s="30">
        <f>Source!AN195</f>
        <v>0.26</v>
      </c>
      <c r="G453" s="31" t="str">
        <f>Source!DF195</f>
        <v>)*1,2</v>
      </c>
      <c r="H453" s="33">
        <f>ROUND(Source!AE195*Source!I195, 2)</f>
        <v>0.86</v>
      </c>
      <c r="I453" s="31"/>
      <c r="J453" s="31">
        <f>IF(Source!BS195&lt;&gt; 0, Source!BS195, 1)</f>
        <v>6.71</v>
      </c>
      <c r="K453" s="33">
        <f>Source!R195</f>
        <v>5.78</v>
      </c>
      <c r="L453" s="32"/>
      <c r="R453">
        <f>H453</f>
        <v>0.86</v>
      </c>
    </row>
    <row r="454" spans="1:26" ht="14.25" x14ac:dyDescent="0.2">
      <c r="A454" s="45"/>
      <c r="B454" s="46"/>
      <c r="C454" s="46" t="s">
        <v>1090</v>
      </c>
      <c r="D454" s="29"/>
      <c r="E454" s="11"/>
      <c r="F454" s="30">
        <f>Source!AL195</f>
        <v>13.6</v>
      </c>
      <c r="G454" s="31" t="str">
        <f>Source!DD195</f>
        <v/>
      </c>
      <c r="H454" s="30">
        <f>ROUND(Source!AC195*Source!I195, 2)</f>
        <v>37.81</v>
      </c>
      <c r="I454" s="31"/>
      <c r="J454" s="31">
        <f>IF(Source!BC195&lt;&gt; 0, Source!BC195, 1)</f>
        <v>6.71</v>
      </c>
      <c r="K454" s="30">
        <f>Source!P195</f>
        <v>253.69</v>
      </c>
      <c r="L454" s="32"/>
    </row>
    <row r="455" spans="1:26" ht="14.25" x14ac:dyDescent="0.2">
      <c r="A455" s="45"/>
      <c r="B455" s="46"/>
      <c r="C455" s="46" t="s">
        <v>1085</v>
      </c>
      <c r="D455" s="29" t="s">
        <v>1086</v>
      </c>
      <c r="E455" s="11">
        <f>Source!BZ195</f>
        <v>95</v>
      </c>
      <c r="F455" s="49"/>
      <c r="G455" s="31"/>
      <c r="H455" s="30">
        <f>SUM(S449:S458)</f>
        <v>112.82</v>
      </c>
      <c r="I455" s="34"/>
      <c r="J455" s="27">
        <f>Source!AT195</f>
        <v>95</v>
      </c>
      <c r="K455" s="30">
        <f>SUM(T449:T458)</f>
        <v>757.05</v>
      </c>
      <c r="L455" s="32"/>
    </row>
    <row r="456" spans="1:26" ht="14.25" x14ac:dyDescent="0.2">
      <c r="A456" s="45"/>
      <c r="B456" s="46"/>
      <c r="C456" s="46" t="s">
        <v>1087</v>
      </c>
      <c r="D456" s="29" t="s">
        <v>1086</v>
      </c>
      <c r="E456" s="11">
        <f>Source!CA195</f>
        <v>65</v>
      </c>
      <c r="F456" s="49"/>
      <c r="G456" s="31"/>
      <c r="H456" s="30">
        <f>SUM(U449:U458)</f>
        <v>77.19</v>
      </c>
      <c r="I456" s="34"/>
      <c r="J456" s="27">
        <f>Source!AU195</f>
        <v>65</v>
      </c>
      <c r="K456" s="30">
        <f>SUM(V449:V458)</f>
        <v>517.98</v>
      </c>
      <c r="L456" s="32"/>
    </row>
    <row r="457" spans="1:26" ht="14.25" x14ac:dyDescent="0.2">
      <c r="A457" s="45"/>
      <c r="B457" s="46"/>
      <c r="C457" s="46" t="s">
        <v>1088</v>
      </c>
      <c r="D457" s="29" t="s">
        <v>1089</v>
      </c>
      <c r="E457" s="11">
        <f>Source!AQ195</f>
        <v>3.76</v>
      </c>
      <c r="F457" s="30"/>
      <c r="G457" s="31" t="str">
        <f>Source!DI195</f>
        <v>)*1,2</v>
      </c>
      <c r="H457" s="30"/>
      <c r="I457" s="31"/>
      <c r="J457" s="31"/>
      <c r="K457" s="30"/>
      <c r="L457" s="41">
        <f>Source!U195</f>
        <v>12.543359999999998</v>
      </c>
    </row>
    <row r="458" spans="1:26" ht="85.5" x14ac:dyDescent="0.2">
      <c r="A458" s="47" t="str">
        <f>Source!E196</f>
        <v>42,1</v>
      </c>
      <c r="B458" s="48" t="str">
        <f>Source!F196</f>
        <v>21.1.06.09-0152</v>
      </c>
      <c r="C458" s="48" t="str">
        <f>Source!G196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458" s="35" t="str">
        <f>Source!H196</f>
        <v>1000 м</v>
      </c>
      <c r="E458" s="36">
        <f>Source!I196</f>
        <v>0.27800000000000002</v>
      </c>
      <c r="F458" s="37">
        <f>Source!AL196+Source!AM196+Source!AO196</f>
        <v>6920.41</v>
      </c>
      <c r="G458" s="42" t="s">
        <v>6</v>
      </c>
      <c r="H458" s="37">
        <f>ROUND(Source!AC196*Source!I196, 2)+ROUND(Source!AD196*Source!I196, 2)+ROUND(Source!AF196*Source!I196, 2)</f>
        <v>1923.87</v>
      </c>
      <c r="I458" s="38"/>
      <c r="J458" s="38">
        <f>IF(Source!BC196&lt;&gt; 0, Source!BC196, 1)</f>
        <v>6.71</v>
      </c>
      <c r="K458" s="37">
        <f>Source!O196</f>
        <v>12909.19</v>
      </c>
      <c r="L458" s="43"/>
      <c r="S458">
        <f>ROUND((Source!FX196/100)*((ROUND(Source!AF196*Source!I196, 2)+ROUND(Source!AE196*Source!I196, 2))), 2)</f>
        <v>0</v>
      </c>
      <c r="T458">
        <f>Source!X196</f>
        <v>0</v>
      </c>
      <c r="U458">
        <f>ROUND((Source!FY196/100)*((ROUND(Source!AF196*Source!I196, 2)+ROUND(Source!AE196*Source!I196, 2))), 2)</f>
        <v>0</v>
      </c>
      <c r="V458">
        <f>Source!Y196</f>
        <v>0</v>
      </c>
      <c r="W458">
        <f>IF(Source!BI196&lt;=1,H458, 0)</f>
        <v>0</v>
      </c>
      <c r="X458">
        <f>IF(Source!BI196=2,H458, 0)</f>
        <v>1923.87</v>
      </c>
      <c r="Y458">
        <f>IF(Source!BI196=3,H458, 0)</f>
        <v>0</v>
      </c>
      <c r="Z458">
        <f>IF(Source!BI196=4,H458, 0)</f>
        <v>0</v>
      </c>
    </row>
    <row r="459" spans="1:26" ht="15" x14ac:dyDescent="0.25">
      <c r="G459" s="69">
        <f>H451+H452+H454+H455+H456+SUM(H458:H458)</f>
        <v>2275.5099999999998</v>
      </c>
      <c r="H459" s="69"/>
      <c r="J459" s="69">
        <f>K451+K452+K454+K455+K456+SUM(K458:K458)</f>
        <v>15268.75</v>
      </c>
      <c r="K459" s="69"/>
      <c r="L459" s="40">
        <f>Source!U195</f>
        <v>12.543359999999998</v>
      </c>
      <c r="O459" s="24">
        <f>G459</f>
        <v>2275.5099999999998</v>
      </c>
      <c r="P459" s="24">
        <f>J459</f>
        <v>15268.75</v>
      </c>
      <c r="Q459" s="24">
        <f>L459</f>
        <v>12.543359999999998</v>
      </c>
      <c r="W459">
        <f>IF(Source!BI195&lt;=1,H451+H452+H454+H455+H456, 0)</f>
        <v>0</v>
      </c>
      <c r="X459">
        <f>IF(Source!BI195=2,H451+H452+H454+H455+H456, 0)</f>
        <v>351.64</v>
      </c>
      <c r="Y459">
        <f>IF(Source!BI195=3,H451+H452+H454+H455+H456, 0)</f>
        <v>0</v>
      </c>
      <c r="Z459">
        <f>IF(Source!BI195=4,H451+H452+H454+H455+H456, 0)</f>
        <v>0</v>
      </c>
    </row>
    <row r="460" spans="1:26" ht="28.5" x14ac:dyDescent="0.2">
      <c r="A460" s="45" t="str">
        <f>Source!E197</f>
        <v>43</v>
      </c>
      <c r="B460" s="46" t="str">
        <f>Source!F197</f>
        <v>м08-02-399-01</v>
      </c>
      <c r="C460" s="46" t="str">
        <f>Source!G197</f>
        <v>Провод в коробах, сечением до 6 мм2</v>
      </c>
      <c r="D460" s="29" t="str">
        <f>Source!H197</f>
        <v>100 м</v>
      </c>
      <c r="E460" s="11">
        <f>Source!I197</f>
        <v>1.49</v>
      </c>
      <c r="F460" s="30">
        <f>Source!AL197+Source!AM197+Source!AO197</f>
        <v>41.11</v>
      </c>
      <c r="G460" s="31"/>
      <c r="H460" s="30"/>
      <c r="I460" s="31" t="str">
        <f>Source!BO197</f>
        <v/>
      </c>
      <c r="J460" s="31"/>
      <c r="K460" s="30"/>
      <c r="L460" s="32"/>
      <c r="S460">
        <f>ROUND((Source!FX197/100)*((ROUND(Source!AF197*Source!I197, 2)+ROUND(Source!AE197*Source!I197, 2))), 2)</f>
        <v>45.47</v>
      </c>
      <c r="T460">
        <f>Source!X197</f>
        <v>305.07</v>
      </c>
      <c r="U460">
        <f>ROUND((Source!FY197/100)*((ROUND(Source!AF197*Source!I197, 2)+ROUND(Source!AE197*Source!I197, 2))), 2)</f>
        <v>31.11</v>
      </c>
      <c r="V460">
        <f>Source!Y197</f>
        <v>208.73</v>
      </c>
    </row>
    <row r="461" spans="1:26" x14ac:dyDescent="0.2">
      <c r="C461" s="23" t="str">
        <f>"Объем: "&amp;Source!I197&amp;"=149/"&amp;"100"</f>
        <v>Объем: 1,49=149/100</v>
      </c>
    </row>
    <row r="462" spans="1:26" ht="14.25" x14ac:dyDescent="0.2">
      <c r="A462" s="45"/>
      <c r="B462" s="46"/>
      <c r="C462" s="46" t="s">
        <v>1083</v>
      </c>
      <c r="D462" s="29"/>
      <c r="E462" s="11"/>
      <c r="F462" s="30">
        <f>Source!AO197</f>
        <v>26.51</v>
      </c>
      <c r="G462" s="31" t="str">
        <f>Source!DG197</f>
        <v>)*1,2</v>
      </c>
      <c r="H462" s="30">
        <f>ROUND(Source!AF197*Source!I197, 2)</f>
        <v>47.4</v>
      </c>
      <c r="I462" s="31"/>
      <c r="J462" s="31">
        <f>IF(Source!BA197&lt;&gt; 0, Source!BA197, 1)</f>
        <v>6.71</v>
      </c>
      <c r="K462" s="30">
        <f>Source!S197</f>
        <v>318.02999999999997</v>
      </c>
      <c r="L462" s="32"/>
      <c r="R462">
        <f>H462</f>
        <v>47.4</v>
      </c>
    </row>
    <row r="463" spans="1:26" ht="14.25" x14ac:dyDescent="0.2">
      <c r="A463" s="45"/>
      <c r="B463" s="46"/>
      <c r="C463" s="46" t="s">
        <v>139</v>
      </c>
      <c r="D463" s="29"/>
      <c r="E463" s="11"/>
      <c r="F463" s="30">
        <f>Source!AM197</f>
        <v>1.78</v>
      </c>
      <c r="G463" s="31" t="str">
        <f>Source!DE197</f>
        <v>)*1,2</v>
      </c>
      <c r="H463" s="30">
        <f>ROUND(Source!AD197*Source!I197, 2)</f>
        <v>3.17</v>
      </c>
      <c r="I463" s="31"/>
      <c r="J463" s="31">
        <f>IF(Source!BB197&lt;&gt; 0, Source!BB197, 1)</f>
        <v>6.71</v>
      </c>
      <c r="K463" s="30">
        <f>Source!Q197</f>
        <v>21.3</v>
      </c>
      <c r="L463" s="32"/>
    </row>
    <row r="464" spans="1:26" ht="14.25" x14ac:dyDescent="0.2">
      <c r="A464" s="45"/>
      <c r="B464" s="46"/>
      <c r="C464" s="46" t="s">
        <v>1084</v>
      </c>
      <c r="D464" s="29"/>
      <c r="E464" s="11"/>
      <c r="F464" s="30">
        <f>Source!AN197</f>
        <v>0.26</v>
      </c>
      <c r="G464" s="31" t="str">
        <f>Source!DF197</f>
        <v>)*1,2</v>
      </c>
      <c r="H464" s="33">
        <f>ROUND(Source!AE197*Source!I197, 2)</f>
        <v>0.46</v>
      </c>
      <c r="I464" s="31"/>
      <c r="J464" s="31">
        <f>IF(Source!BS197&lt;&gt; 0, Source!BS197, 1)</f>
        <v>6.71</v>
      </c>
      <c r="K464" s="33">
        <f>Source!R197</f>
        <v>3.1</v>
      </c>
      <c r="L464" s="32"/>
      <c r="R464">
        <f>H464</f>
        <v>0.46</v>
      </c>
    </row>
    <row r="465" spans="1:26" ht="14.25" x14ac:dyDescent="0.2">
      <c r="A465" s="45"/>
      <c r="B465" s="46"/>
      <c r="C465" s="46" t="s">
        <v>1090</v>
      </c>
      <c r="D465" s="29"/>
      <c r="E465" s="11"/>
      <c r="F465" s="30">
        <f>Source!AL197</f>
        <v>12.82</v>
      </c>
      <c r="G465" s="31" t="str">
        <f>Source!DD197</f>
        <v/>
      </c>
      <c r="H465" s="30">
        <f>ROUND(Source!AC197*Source!I197, 2)</f>
        <v>19.100000000000001</v>
      </c>
      <c r="I465" s="31"/>
      <c r="J465" s="31">
        <f>IF(Source!BC197&lt;&gt; 0, Source!BC197, 1)</f>
        <v>6.71</v>
      </c>
      <c r="K465" s="30">
        <f>Source!P197</f>
        <v>128.16999999999999</v>
      </c>
      <c r="L465" s="32"/>
    </row>
    <row r="466" spans="1:26" ht="14.25" x14ac:dyDescent="0.2">
      <c r="A466" s="45"/>
      <c r="B466" s="46"/>
      <c r="C466" s="46" t="s">
        <v>1085</v>
      </c>
      <c r="D466" s="29" t="s">
        <v>1086</v>
      </c>
      <c r="E466" s="11">
        <f>Source!BZ197</f>
        <v>95</v>
      </c>
      <c r="F466" s="49"/>
      <c r="G466" s="31"/>
      <c r="H466" s="30">
        <f>SUM(S460:S469)</f>
        <v>45.47</v>
      </c>
      <c r="I466" s="34"/>
      <c r="J466" s="27">
        <f>Source!AT197</f>
        <v>95</v>
      </c>
      <c r="K466" s="30">
        <f>SUM(T460:T469)</f>
        <v>305.07</v>
      </c>
      <c r="L466" s="32"/>
    </row>
    <row r="467" spans="1:26" ht="14.25" x14ac:dyDescent="0.2">
      <c r="A467" s="45"/>
      <c r="B467" s="46"/>
      <c r="C467" s="46" t="s">
        <v>1087</v>
      </c>
      <c r="D467" s="29" t="s">
        <v>1086</v>
      </c>
      <c r="E467" s="11">
        <f>Source!CA197</f>
        <v>65</v>
      </c>
      <c r="F467" s="49"/>
      <c r="G467" s="31"/>
      <c r="H467" s="30">
        <f>SUM(U460:U469)</f>
        <v>31.11</v>
      </c>
      <c r="I467" s="34"/>
      <c r="J467" s="27">
        <f>Source!AU197</f>
        <v>65</v>
      </c>
      <c r="K467" s="30">
        <f>SUM(V460:V469)</f>
        <v>208.73</v>
      </c>
      <c r="L467" s="32"/>
    </row>
    <row r="468" spans="1:26" ht="14.25" x14ac:dyDescent="0.2">
      <c r="A468" s="45"/>
      <c r="B468" s="46"/>
      <c r="C468" s="46" t="s">
        <v>1088</v>
      </c>
      <c r="D468" s="29" t="s">
        <v>1089</v>
      </c>
      <c r="E468" s="11">
        <f>Source!AQ197</f>
        <v>2.82</v>
      </c>
      <c r="F468" s="30"/>
      <c r="G468" s="31" t="str">
        <f>Source!DI197</f>
        <v>)*1,2</v>
      </c>
      <c r="H468" s="30"/>
      <c r="I468" s="31"/>
      <c r="J468" s="31"/>
      <c r="K468" s="30"/>
      <c r="L468" s="41">
        <f>Source!U197</f>
        <v>5.04216</v>
      </c>
    </row>
    <row r="469" spans="1:26" ht="28.5" x14ac:dyDescent="0.2">
      <c r="A469" s="47" t="str">
        <f>Source!E198</f>
        <v>43,1</v>
      </c>
      <c r="B469" s="48" t="str">
        <f>Source!F198</f>
        <v>21.1.04.01-0004</v>
      </c>
      <c r="C469" s="48" t="str">
        <f>Source!G198</f>
        <v>Кабель (витая пара) UTP 4x2x0,52 категория 5е</v>
      </c>
      <c r="D469" s="35" t="str">
        <f>Source!H198</f>
        <v>1000 м</v>
      </c>
      <c r="E469" s="36">
        <f>Source!I198</f>
        <v>0.14899999999999999</v>
      </c>
      <c r="F469" s="37">
        <f>Source!AL198+Source!AM198+Source!AO198</f>
        <v>1150.19</v>
      </c>
      <c r="G469" s="42" t="s">
        <v>6</v>
      </c>
      <c r="H469" s="37">
        <f>ROUND(Source!AC198*Source!I198, 2)+ROUND(Source!AD198*Source!I198, 2)+ROUND(Source!AF198*Source!I198, 2)</f>
        <v>171.38</v>
      </c>
      <c r="I469" s="38"/>
      <c r="J469" s="38">
        <f>IF(Source!BC198&lt;&gt; 0, Source!BC198, 1)</f>
        <v>6.71</v>
      </c>
      <c r="K469" s="37">
        <f>Source!O198</f>
        <v>1149.95</v>
      </c>
      <c r="L469" s="43"/>
      <c r="S469">
        <f>ROUND((Source!FX198/100)*((ROUND(Source!AF198*Source!I198, 2)+ROUND(Source!AE198*Source!I198, 2))), 2)</f>
        <v>0</v>
      </c>
      <c r="T469">
        <f>Source!X198</f>
        <v>0</v>
      </c>
      <c r="U469">
        <f>ROUND((Source!FY198/100)*((ROUND(Source!AF198*Source!I198, 2)+ROUND(Source!AE198*Source!I198, 2))), 2)</f>
        <v>0</v>
      </c>
      <c r="V469">
        <f>Source!Y198</f>
        <v>0</v>
      </c>
      <c r="W469">
        <f>IF(Source!BI198&lt;=1,H469, 0)</f>
        <v>0</v>
      </c>
      <c r="X469">
        <f>IF(Source!BI198=2,H469, 0)</f>
        <v>171.38</v>
      </c>
      <c r="Y469">
        <f>IF(Source!BI198=3,H469, 0)</f>
        <v>0</v>
      </c>
      <c r="Z469">
        <f>IF(Source!BI198=4,H469, 0)</f>
        <v>0</v>
      </c>
    </row>
    <row r="470" spans="1:26" ht="15" x14ac:dyDescent="0.25">
      <c r="G470" s="69">
        <f>H462+H463+H465+H466+H467+SUM(H469:H469)</f>
        <v>317.63</v>
      </c>
      <c r="H470" s="69"/>
      <c r="J470" s="69">
        <f>K462+K463+K465+K466+K467+SUM(K469:K469)</f>
        <v>2131.25</v>
      </c>
      <c r="K470" s="69"/>
      <c r="L470" s="40">
        <f>Source!U197</f>
        <v>5.04216</v>
      </c>
      <c r="O470" s="24">
        <f>G470</f>
        <v>317.63</v>
      </c>
      <c r="P470" s="24">
        <f>J470</f>
        <v>2131.25</v>
      </c>
      <c r="Q470" s="24">
        <f>L470</f>
        <v>5.04216</v>
      </c>
      <c r="W470">
        <f>IF(Source!BI197&lt;=1,H462+H463+H465+H466+H467, 0)</f>
        <v>0</v>
      </c>
      <c r="X470">
        <f>IF(Source!BI197=2,H462+H463+H465+H466+H467, 0)</f>
        <v>146.25</v>
      </c>
      <c r="Y470">
        <f>IF(Source!BI197=3,H462+H463+H465+H466+H467, 0)</f>
        <v>0</v>
      </c>
      <c r="Z470">
        <f>IF(Source!BI197=4,H462+H463+H465+H466+H467, 0)</f>
        <v>0</v>
      </c>
    </row>
    <row r="471" spans="1:26" ht="28.5" x14ac:dyDescent="0.2">
      <c r="A471" s="45" t="str">
        <f>Source!E199</f>
        <v>44</v>
      </c>
      <c r="B471" s="46" t="str">
        <f>Source!F199</f>
        <v>м08-03-591-08</v>
      </c>
      <c r="C471" s="46" t="str">
        <f>Source!G199</f>
        <v>Розетка штепсельная неутопленного типа при открытой проводке</v>
      </c>
      <c r="D471" s="29" t="str">
        <f>Source!H199</f>
        <v>100 ШТ</v>
      </c>
      <c r="E471" s="11">
        <f>Source!I199</f>
        <v>0.86</v>
      </c>
      <c r="F471" s="30">
        <f>Source!AL199+Source!AM199+Source!AO199</f>
        <v>453.92999999999995</v>
      </c>
      <c r="G471" s="31"/>
      <c r="H471" s="30"/>
      <c r="I471" s="31" t="str">
        <f>Source!BO199</f>
        <v/>
      </c>
      <c r="J471" s="31"/>
      <c r="K471" s="30"/>
      <c r="L471" s="32"/>
      <c r="S471">
        <f>ROUND((Source!FX199/100)*((ROUND(Source!AF199*Source!I199, 2)+ROUND(Source!AE199*Source!I199, 2))), 2)</f>
        <v>336.75</v>
      </c>
      <c r="T471">
        <f>Source!X199</f>
        <v>2259.59</v>
      </c>
      <c r="U471">
        <f>ROUND((Source!FY199/100)*((ROUND(Source!AF199*Source!I199, 2)+ROUND(Source!AE199*Source!I199, 2))), 2)</f>
        <v>230.41</v>
      </c>
      <c r="V471">
        <f>Source!Y199</f>
        <v>1546.04</v>
      </c>
    </row>
    <row r="472" spans="1:26" x14ac:dyDescent="0.2">
      <c r="C472" s="23" t="str">
        <f>"Объем: "&amp;Source!I199&amp;"=86/"&amp;"100"</f>
        <v>Объем: 0,86=86/100</v>
      </c>
    </row>
    <row r="473" spans="1:26" ht="14.25" x14ac:dyDescent="0.2">
      <c r="A473" s="45"/>
      <c r="B473" s="46"/>
      <c r="C473" s="46" t="s">
        <v>1083</v>
      </c>
      <c r="D473" s="29"/>
      <c r="E473" s="11"/>
      <c r="F473" s="30">
        <f>Source!AO199</f>
        <v>342.84</v>
      </c>
      <c r="G473" s="31" t="str">
        <f>Source!DG199</f>
        <v>)*1,2</v>
      </c>
      <c r="H473" s="30">
        <f>ROUND(Source!AF199*Source!I199, 2)</f>
        <v>353.81</v>
      </c>
      <c r="I473" s="31"/>
      <c r="J473" s="31">
        <f>IF(Source!BA199&lt;&gt; 0, Source!BA199, 1)</f>
        <v>6.71</v>
      </c>
      <c r="K473" s="30">
        <f>Source!S199</f>
        <v>2374.08</v>
      </c>
      <c r="L473" s="32"/>
      <c r="R473">
        <f>H473</f>
        <v>353.81</v>
      </c>
    </row>
    <row r="474" spans="1:26" ht="14.25" x14ac:dyDescent="0.2">
      <c r="A474" s="45"/>
      <c r="B474" s="46"/>
      <c r="C474" s="46" t="s">
        <v>139</v>
      </c>
      <c r="D474" s="29"/>
      <c r="E474" s="11"/>
      <c r="F474" s="30">
        <f>Source!AM199</f>
        <v>4.67</v>
      </c>
      <c r="G474" s="31" t="str">
        <f>Source!DE199</f>
        <v>)*1,2</v>
      </c>
      <c r="H474" s="30">
        <f>ROUND(Source!AD199*Source!I199, 2)</f>
        <v>4.82</v>
      </c>
      <c r="I474" s="31"/>
      <c r="J474" s="31">
        <f>IF(Source!BB199&lt;&gt; 0, Source!BB199, 1)</f>
        <v>6.71</v>
      </c>
      <c r="K474" s="30">
        <f>Source!Q199</f>
        <v>32.369999999999997</v>
      </c>
      <c r="L474" s="32"/>
    </row>
    <row r="475" spans="1:26" ht="14.25" x14ac:dyDescent="0.2">
      <c r="A475" s="45"/>
      <c r="B475" s="46"/>
      <c r="C475" s="46" t="s">
        <v>1084</v>
      </c>
      <c r="D475" s="29"/>
      <c r="E475" s="11"/>
      <c r="F475" s="30">
        <f>Source!AN199</f>
        <v>0.64</v>
      </c>
      <c r="G475" s="31" t="str">
        <f>Source!DF199</f>
        <v>)*1,2</v>
      </c>
      <c r="H475" s="33">
        <f>ROUND(Source!AE199*Source!I199, 2)</f>
        <v>0.66</v>
      </c>
      <c r="I475" s="31"/>
      <c r="J475" s="31">
        <f>IF(Source!BS199&lt;&gt; 0, Source!BS199, 1)</f>
        <v>6.71</v>
      </c>
      <c r="K475" s="33">
        <f>Source!R199</f>
        <v>4.4400000000000004</v>
      </c>
      <c r="L475" s="32"/>
      <c r="R475">
        <f>H475</f>
        <v>0.66</v>
      </c>
    </row>
    <row r="476" spans="1:26" ht="14.25" x14ac:dyDescent="0.2">
      <c r="A476" s="45"/>
      <c r="B476" s="46"/>
      <c r="C476" s="46" t="s">
        <v>1090</v>
      </c>
      <c r="D476" s="29"/>
      <c r="E476" s="11"/>
      <c r="F476" s="30">
        <f>Source!AL199</f>
        <v>106.42</v>
      </c>
      <c r="G476" s="31" t="str">
        <f>Source!DD199</f>
        <v/>
      </c>
      <c r="H476" s="30">
        <f>ROUND(Source!AC199*Source!I199, 2)</f>
        <v>91.52</v>
      </c>
      <c r="I476" s="31"/>
      <c r="J476" s="31">
        <f>IF(Source!BC199&lt;&gt; 0, Source!BC199, 1)</f>
        <v>6.71</v>
      </c>
      <c r="K476" s="30">
        <f>Source!P199</f>
        <v>614.11</v>
      </c>
      <c r="L476" s="32"/>
    </row>
    <row r="477" spans="1:26" ht="14.25" x14ac:dyDescent="0.2">
      <c r="A477" s="45"/>
      <c r="B477" s="46"/>
      <c r="C477" s="46" t="s">
        <v>1085</v>
      </c>
      <c r="D477" s="29" t="s">
        <v>1086</v>
      </c>
      <c r="E477" s="11">
        <f>Source!BZ199</f>
        <v>95</v>
      </c>
      <c r="F477" s="49"/>
      <c r="G477" s="31"/>
      <c r="H477" s="30">
        <f>SUM(S471:S481)</f>
        <v>336.75</v>
      </c>
      <c r="I477" s="34"/>
      <c r="J477" s="27">
        <f>Source!AT199</f>
        <v>95</v>
      </c>
      <c r="K477" s="30">
        <f>SUM(T471:T481)</f>
        <v>2259.59</v>
      </c>
      <c r="L477" s="32"/>
    </row>
    <row r="478" spans="1:26" ht="14.25" x14ac:dyDescent="0.2">
      <c r="A478" s="45"/>
      <c r="B478" s="46"/>
      <c r="C478" s="46" t="s">
        <v>1087</v>
      </c>
      <c r="D478" s="29" t="s">
        <v>1086</v>
      </c>
      <c r="E478" s="11">
        <f>Source!CA199</f>
        <v>65</v>
      </c>
      <c r="F478" s="49"/>
      <c r="G478" s="31"/>
      <c r="H478" s="30">
        <f>SUM(U471:U481)</f>
        <v>230.41</v>
      </c>
      <c r="I478" s="34"/>
      <c r="J478" s="27">
        <f>Source!AU199</f>
        <v>65</v>
      </c>
      <c r="K478" s="30">
        <f>SUM(V471:V481)</f>
        <v>1546.04</v>
      </c>
      <c r="L478" s="32"/>
    </row>
    <row r="479" spans="1:26" ht="14.25" x14ac:dyDescent="0.2">
      <c r="A479" s="45"/>
      <c r="B479" s="46"/>
      <c r="C479" s="46" t="s">
        <v>1088</v>
      </c>
      <c r="D479" s="29" t="s">
        <v>1089</v>
      </c>
      <c r="E479" s="11">
        <f>Source!AQ199</f>
        <v>34.56</v>
      </c>
      <c r="F479" s="30"/>
      <c r="G479" s="31" t="str">
        <f>Source!DI199</f>
        <v>)*1,2</v>
      </c>
      <c r="H479" s="30"/>
      <c r="I479" s="31"/>
      <c r="J479" s="31"/>
      <c r="K479" s="30"/>
      <c r="L479" s="41">
        <f>Source!U199</f>
        <v>35.66592</v>
      </c>
    </row>
    <row r="480" spans="1:26" ht="28.5" x14ac:dyDescent="0.2">
      <c r="A480" s="45" t="str">
        <f>Source!E200</f>
        <v>44,1</v>
      </c>
      <c r="B480" s="46" t="str">
        <f>Source!F200</f>
        <v>20.4.03.04-0005</v>
      </c>
      <c r="C480" s="46" t="str">
        <f>Source!G200</f>
        <v>Розетка кабельная трехфазная 3P+PE+N, 32А, 415В, IP44</v>
      </c>
      <c r="D480" s="29" t="str">
        <f>Source!H200</f>
        <v>100 шт.</v>
      </c>
      <c r="E480" s="11">
        <f>Source!I200</f>
        <v>0.72</v>
      </c>
      <c r="F480" s="30">
        <f>Source!AL200+Source!AM200+Source!AO200</f>
        <v>7615</v>
      </c>
      <c r="G480" s="44" t="s">
        <v>6</v>
      </c>
      <c r="H480" s="30">
        <f>ROUND(Source!AC200*Source!I200, 2)+ROUND(Source!AD200*Source!I200, 2)+ROUND(Source!AF200*Source!I200, 2)</f>
        <v>5482.8</v>
      </c>
      <c r="I480" s="31"/>
      <c r="J480" s="31">
        <f>IF(Source!BC200&lt;&gt; 0, Source!BC200, 1)</f>
        <v>6.71</v>
      </c>
      <c r="K480" s="30">
        <f>Source!O200</f>
        <v>36789.589999999997</v>
      </c>
      <c r="L480" s="32"/>
      <c r="S480">
        <f>ROUND((Source!FX200/100)*((ROUND(Source!AF200*Source!I200, 2)+ROUND(Source!AE200*Source!I200, 2))), 2)</f>
        <v>0</v>
      </c>
      <c r="T480">
        <f>Source!X200</f>
        <v>0</v>
      </c>
      <c r="U480">
        <f>ROUND((Source!FY200/100)*((ROUND(Source!AF200*Source!I200, 2)+ROUND(Source!AE200*Source!I200, 2))), 2)</f>
        <v>0</v>
      </c>
      <c r="V480">
        <f>Source!Y200</f>
        <v>0</v>
      </c>
      <c r="W480">
        <f>IF(Source!BI200&lt;=1,H480, 0)</f>
        <v>0</v>
      </c>
      <c r="X480">
        <f>IF(Source!BI200=2,H480, 0)</f>
        <v>5482.8</v>
      </c>
      <c r="Y480">
        <f>IF(Source!BI200=3,H480, 0)</f>
        <v>0</v>
      </c>
      <c r="Z480">
        <f>IF(Source!BI200=4,H480, 0)</f>
        <v>0</v>
      </c>
    </row>
    <row r="481" spans="1:26" ht="28.5" x14ac:dyDescent="0.2">
      <c r="A481" s="47" t="str">
        <f>Source!E201</f>
        <v>44,2</v>
      </c>
      <c r="B481" s="48" t="str">
        <f>Source!F201</f>
        <v>20.4.03.05-0002</v>
      </c>
      <c r="C481" s="48" t="str">
        <f>Source!G201</f>
        <v>Розетка открытой проводки двухгнездная (UTP )</v>
      </c>
      <c r="D481" s="35" t="str">
        <f>Source!H201</f>
        <v>100 шт.</v>
      </c>
      <c r="E481" s="36">
        <f>Source!I201</f>
        <v>0.14000000000000001</v>
      </c>
      <c r="F481" s="37">
        <f>Source!AL201+Source!AM201+Source!AO201</f>
        <v>702</v>
      </c>
      <c r="G481" s="42" t="s">
        <v>6</v>
      </c>
      <c r="H481" s="37">
        <f>ROUND(Source!AC201*Source!I201, 2)+ROUND(Source!AD201*Source!I201, 2)+ROUND(Source!AF201*Source!I201, 2)</f>
        <v>98.28</v>
      </c>
      <c r="I481" s="38"/>
      <c r="J481" s="38">
        <f>IF(Source!BC201&lt;&gt; 0, Source!BC201, 1)</f>
        <v>6.71</v>
      </c>
      <c r="K481" s="37">
        <f>Source!O201</f>
        <v>659.46</v>
      </c>
      <c r="L481" s="43"/>
      <c r="S481">
        <f>ROUND((Source!FX201/100)*((ROUND(Source!AF201*Source!I201, 2)+ROUND(Source!AE201*Source!I201, 2))), 2)</f>
        <v>0</v>
      </c>
      <c r="T481">
        <f>Source!X201</f>
        <v>0</v>
      </c>
      <c r="U481">
        <f>ROUND((Source!FY201/100)*((ROUND(Source!AF201*Source!I201, 2)+ROUND(Source!AE201*Source!I201, 2))), 2)</f>
        <v>0</v>
      </c>
      <c r="V481">
        <f>Source!Y201</f>
        <v>0</v>
      </c>
      <c r="W481">
        <f>IF(Source!BI201&lt;=1,H481, 0)</f>
        <v>0</v>
      </c>
      <c r="X481">
        <f>IF(Source!BI201=2,H481, 0)</f>
        <v>98.28</v>
      </c>
      <c r="Y481">
        <f>IF(Source!BI201=3,H481, 0)</f>
        <v>0</v>
      </c>
      <c r="Z481">
        <f>IF(Source!BI201=4,H481, 0)</f>
        <v>0</v>
      </c>
    </row>
    <row r="482" spans="1:26" ht="15" x14ac:dyDescent="0.25">
      <c r="G482" s="69">
        <f>H473+H474+H476+H477+H478+SUM(H480:H481)</f>
        <v>6598.3899999999994</v>
      </c>
      <c r="H482" s="69"/>
      <c r="J482" s="69">
        <f>K473+K474+K476+K477+K478+SUM(K480:K481)</f>
        <v>44275.24</v>
      </c>
      <c r="K482" s="69"/>
      <c r="L482" s="40">
        <f>Source!U199</f>
        <v>35.66592</v>
      </c>
      <c r="O482" s="24">
        <f>G482</f>
        <v>6598.3899999999994</v>
      </c>
      <c r="P482" s="24">
        <f>J482</f>
        <v>44275.24</v>
      </c>
      <c r="Q482" s="24">
        <f>L482</f>
        <v>35.66592</v>
      </c>
      <c r="W482">
        <f>IF(Source!BI199&lt;=1,H473+H474+H476+H477+H478, 0)</f>
        <v>0</v>
      </c>
      <c r="X482">
        <f>IF(Source!BI199=2,H473+H474+H476+H477+H478, 0)</f>
        <v>1017.31</v>
      </c>
      <c r="Y482">
        <f>IF(Source!BI199=3,H473+H474+H476+H477+H478, 0)</f>
        <v>0</v>
      </c>
      <c r="Z482">
        <f>IF(Source!BI199=4,H473+H474+H476+H477+H478, 0)</f>
        <v>0</v>
      </c>
    </row>
    <row r="483" spans="1:26" ht="42.75" x14ac:dyDescent="0.2">
      <c r="A483" s="45" t="str">
        <f>Source!E202</f>
        <v>45</v>
      </c>
      <c r="B483" s="46" t="str">
        <f>Source!F202</f>
        <v>м08-03-591-04</v>
      </c>
      <c r="C483" s="46" t="str">
        <f>Source!G202</f>
        <v>Выключатель двухклавишный неутопленного типа при открытой проводке</v>
      </c>
      <c r="D483" s="29" t="str">
        <f>Source!H202</f>
        <v>100 ШТ</v>
      </c>
      <c r="E483" s="11">
        <f>Source!I202</f>
        <v>0.08</v>
      </c>
      <c r="F483" s="30">
        <f>Source!AL202+Source!AM202+Source!AO202</f>
        <v>456.35</v>
      </c>
      <c r="G483" s="31"/>
      <c r="H483" s="30"/>
      <c r="I483" s="31" t="str">
        <f>Source!BO202</f>
        <v/>
      </c>
      <c r="J483" s="31"/>
      <c r="K483" s="30"/>
      <c r="L483" s="32"/>
      <c r="S483">
        <f>ROUND((Source!FX202/100)*((ROUND(Source!AF202*Source!I202, 2)+ROUND(Source!AE202*Source!I202, 2))), 2)</f>
        <v>31.84</v>
      </c>
      <c r="T483">
        <f>Source!X202</f>
        <v>213.65</v>
      </c>
      <c r="U483">
        <f>ROUND((Source!FY202/100)*((ROUND(Source!AF202*Source!I202, 2)+ROUND(Source!AE202*Source!I202, 2))), 2)</f>
        <v>21.79</v>
      </c>
      <c r="V483">
        <f>Source!Y202</f>
        <v>146.18</v>
      </c>
    </row>
    <row r="484" spans="1:26" x14ac:dyDescent="0.2">
      <c r="C484" s="23" t="str">
        <f>"Объем: "&amp;Source!I202&amp;"=8/"&amp;"100"</f>
        <v>Объем: 0,08=8/100</v>
      </c>
    </row>
    <row r="485" spans="1:26" ht="14.25" x14ac:dyDescent="0.2">
      <c r="A485" s="45"/>
      <c r="B485" s="46"/>
      <c r="C485" s="46" t="s">
        <v>1083</v>
      </c>
      <c r="D485" s="29"/>
      <c r="E485" s="11"/>
      <c r="F485" s="30">
        <f>Source!AO202</f>
        <v>348.49</v>
      </c>
      <c r="G485" s="31" t="str">
        <f>Source!DG202</f>
        <v>)*1,2</v>
      </c>
      <c r="H485" s="30">
        <f>ROUND(Source!AF202*Source!I202, 2)</f>
        <v>33.46</v>
      </c>
      <c r="I485" s="31"/>
      <c r="J485" s="31">
        <f>IF(Source!BA202&lt;&gt; 0, Source!BA202, 1)</f>
        <v>6.71</v>
      </c>
      <c r="K485" s="30">
        <f>Source!S202</f>
        <v>224.48</v>
      </c>
      <c r="L485" s="32"/>
      <c r="R485">
        <f>H485</f>
        <v>33.46</v>
      </c>
    </row>
    <row r="486" spans="1:26" ht="14.25" x14ac:dyDescent="0.2">
      <c r="A486" s="45"/>
      <c r="B486" s="46"/>
      <c r="C486" s="46" t="s">
        <v>139</v>
      </c>
      <c r="D486" s="29"/>
      <c r="E486" s="11"/>
      <c r="F486" s="30">
        <f>Source!AM202</f>
        <v>4.67</v>
      </c>
      <c r="G486" s="31" t="str">
        <f>Source!DE202</f>
        <v>)*1,2</v>
      </c>
      <c r="H486" s="30">
        <f>ROUND(Source!AD202*Source!I202, 2)</f>
        <v>0.45</v>
      </c>
      <c r="I486" s="31"/>
      <c r="J486" s="31">
        <f>IF(Source!BB202&lt;&gt; 0, Source!BB202, 1)</f>
        <v>6.71</v>
      </c>
      <c r="K486" s="30">
        <f>Source!Q202</f>
        <v>3.01</v>
      </c>
      <c r="L486" s="32"/>
    </row>
    <row r="487" spans="1:26" ht="14.25" x14ac:dyDescent="0.2">
      <c r="A487" s="45"/>
      <c r="B487" s="46"/>
      <c r="C487" s="46" t="s">
        <v>1084</v>
      </c>
      <c r="D487" s="29"/>
      <c r="E487" s="11"/>
      <c r="F487" s="30">
        <f>Source!AN202</f>
        <v>0.64</v>
      </c>
      <c r="G487" s="31" t="str">
        <f>Source!DF202</f>
        <v>)*1,2</v>
      </c>
      <c r="H487" s="33">
        <f>ROUND(Source!AE202*Source!I202, 2)</f>
        <v>0.06</v>
      </c>
      <c r="I487" s="31"/>
      <c r="J487" s="31">
        <f>IF(Source!BS202&lt;&gt; 0, Source!BS202, 1)</f>
        <v>6.71</v>
      </c>
      <c r="K487" s="33">
        <f>Source!R202</f>
        <v>0.41</v>
      </c>
      <c r="L487" s="32"/>
      <c r="R487">
        <f>H487</f>
        <v>0.06</v>
      </c>
    </row>
    <row r="488" spans="1:26" ht="14.25" x14ac:dyDescent="0.2">
      <c r="A488" s="45"/>
      <c r="B488" s="46"/>
      <c r="C488" s="46" t="s">
        <v>1090</v>
      </c>
      <c r="D488" s="29"/>
      <c r="E488" s="11"/>
      <c r="F488" s="30">
        <f>Source!AL202</f>
        <v>103.19</v>
      </c>
      <c r="G488" s="31" t="str">
        <f>Source!DD202</f>
        <v/>
      </c>
      <c r="H488" s="30">
        <f>ROUND(Source!AC202*Source!I202, 2)</f>
        <v>8.26</v>
      </c>
      <c r="I488" s="31"/>
      <c r="J488" s="31">
        <f>IF(Source!BC202&lt;&gt; 0, Source!BC202, 1)</f>
        <v>6.71</v>
      </c>
      <c r="K488" s="30">
        <f>Source!P202</f>
        <v>55.39</v>
      </c>
      <c r="L488" s="32"/>
    </row>
    <row r="489" spans="1:26" ht="14.25" x14ac:dyDescent="0.2">
      <c r="A489" s="45"/>
      <c r="B489" s="46"/>
      <c r="C489" s="46" t="s">
        <v>1085</v>
      </c>
      <c r="D489" s="29" t="s">
        <v>1086</v>
      </c>
      <c r="E489" s="11">
        <f>Source!BZ202</f>
        <v>95</v>
      </c>
      <c r="F489" s="49"/>
      <c r="G489" s="31"/>
      <c r="H489" s="30">
        <f>SUM(S483:S492)</f>
        <v>31.84</v>
      </c>
      <c r="I489" s="34"/>
      <c r="J489" s="27">
        <f>Source!AT202</f>
        <v>95</v>
      </c>
      <c r="K489" s="30">
        <f>SUM(T483:T492)</f>
        <v>213.65</v>
      </c>
      <c r="L489" s="32"/>
    </row>
    <row r="490" spans="1:26" ht="14.25" x14ac:dyDescent="0.2">
      <c r="A490" s="45"/>
      <c r="B490" s="46"/>
      <c r="C490" s="46" t="s">
        <v>1087</v>
      </c>
      <c r="D490" s="29" t="s">
        <v>1086</v>
      </c>
      <c r="E490" s="11">
        <f>Source!CA202</f>
        <v>65</v>
      </c>
      <c r="F490" s="49"/>
      <c r="G490" s="31"/>
      <c r="H490" s="30">
        <f>SUM(U483:U492)</f>
        <v>21.79</v>
      </c>
      <c r="I490" s="34"/>
      <c r="J490" s="27">
        <f>Source!AU202</f>
        <v>65</v>
      </c>
      <c r="K490" s="30">
        <f>SUM(V483:V492)</f>
        <v>146.18</v>
      </c>
      <c r="L490" s="32"/>
    </row>
    <row r="491" spans="1:26" ht="14.25" x14ac:dyDescent="0.2">
      <c r="A491" s="45"/>
      <c r="B491" s="46"/>
      <c r="C491" s="46" t="s">
        <v>1088</v>
      </c>
      <c r="D491" s="29" t="s">
        <v>1089</v>
      </c>
      <c r="E491" s="11">
        <f>Source!AQ202</f>
        <v>35.130000000000003</v>
      </c>
      <c r="F491" s="30"/>
      <c r="G491" s="31" t="str">
        <f>Source!DI202</f>
        <v>)*1,2</v>
      </c>
      <c r="H491" s="30"/>
      <c r="I491" s="31"/>
      <c r="J491" s="31"/>
      <c r="K491" s="30"/>
      <c r="L491" s="41">
        <f>Source!U202</f>
        <v>3.3724799999999999</v>
      </c>
    </row>
    <row r="492" spans="1:26" ht="28.5" x14ac:dyDescent="0.2">
      <c r="A492" s="47" t="str">
        <f>Source!E203</f>
        <v>45,1</v>
      </c>
      <c r="B492" s="48" t="str">
        <f>Source!F203</f>
        <v>20.4.01.01-0001</v>
      </c>
      <c r="C492" s="48" t="str">
        <f>Source!G203</f>
        <v>Выключатель двухклавишный для открытой проводки</v>
      </c>
      <c r="D492" s="35" t="str">
        <f>Source!H203</f>
        <v>10 шт.</v>
      </c>
      <c r="E492" s="36">
        <f>Source!I203</f>
        <v>0.8</v>
      </c>
      <c r="F492" s="37">
        <f>Source!AL203+Source!AM203+Source!AO203</f>
        <v>72.8</v>
      </c>
      <c r="G492" s="42" t="s">
        <v>6</v>
      </c>
      <c r="H492" s="37">
        <f>ROUND(Source!AC203*Source!I203, 2)+ROUND(Source!AD203*Source!I203, 2)+ROUND(Source!AF203*Source!I203, 2)</f>
        <v>58.24</v>
      </c>
      <c r="I492" s="38"/>
      <c r="J492" s="38">
        <f>IF(Source!BC203&lt;&gt; 0, Source!BC203, 1)</f>
        <v>6.71</v>
      </c>
      <c r="K492" s="37">
        <f>Source!O203</f>
        <v>390.79</v>
      </c>
      <c r="L492" s="43"/>
      <c r="S492">
        <f>ROUND((Source!FX203/100)*((ROUND(Source!AF203*Source!I203, 2)+ROUND(Source!AE203*Source!I203, 2))), 2)</f>
        <v>0</v>
      </c>
      <c r="T492">
        <f>Source!X203</f>
        <v>0</v>
      </c>
      <c r="U492">
        <f>ROUND((Source!FY203/100)*((ROUND(Source!AF203*Source!I203, 2)+ROUND(Source!AE203*Source!I203, 2))), 2)</f>
        <v>0</v>
      </c>
      <c r="V492">
        <f>Source!Y203</f>
        <v>0</v>
      </c>
      <c r="W492">
        <f>IF(Source!BI203&lt;=1,H492, 0)</f>
        <v>0</v>
      </c>
      <c r="X492">
        <f>IF(Source!BI203=2,H492, 0)</f>
        <v>58.24</v>
      </c>
      <c r="Y492">
        <f>IF(Source!BI203=3,H492, 0)</f>
        <v>0</v>
      </c>
      <c r="Z492">
        <f>IF(Source!BI203=4,H492, 0)</f>
        <v>0</v>
      </c>
    </row>
    <row r="493" spans="1:26" ht="15" x14ac:dyDescent="0.25">
      <c r="G493" s="69">
        <f>H485+H486+H488+H489+H490+SUM(H492:H492)</f>
        <v>154.04000000000002</v>
      </c>
      <c r="H493" s="69"/>
      <c r="J493" s="69">
        <f>K485+K486+K488+K489+K490+SUM(K492:K492)</f>
        <v>1033.5</v>
      </c>
      <c r="K493" s="69"/>
      <c r="L493" s="40">
        <f>Source!U202</f>
        <v>3.3724799999999999</v>
      </c>
      <c r="O493" s="24">
        <f>G493</f>
        <v>154.04000000000002</v>
      </c>
      <c r="P493" s="24">
        <f>J493</f>
        <v>1033.5</v>
      </c>
      <c r="Q493" s="24">
        <f>L493</f>
        <v>3.3724799999999999</v>
      </c>
      <c r="W493">
        <f>IF(Source!BI202&lt;=1,H485+H486+H488+H489+H490, 0)</f>
        <v>0</v>
      </c>
      <c r="X493">
        <f>IF(Source!BI202=2,H485+H486+H488+H489+H490, 0)</f>
        <v>95.800000000000011</v>
      </c>
      <c r="Y493">
        <f>IF(Source!BI202=3,H485+H486+H488+H489+H490, 0)</f>
        <v>0</v>
      </c>
      <c r="Z493">
        <f>IF(Source!BI202=4,H485+H486+H488+H489+H490, 0)</f>
        <v>0</v>
      </c>
    </row>
    <row r="494" spans="1:26" ht="28.5" x14ac:dyDescent="0.2">
      <c r="A494" s="45" t="str">
        <f>Source!E204</f>
        <v>46</v>
      </c>
      <c r="B494" s="46" t="str">
        <f>Source!F204</f>
        <v>69-1-3</v>
      </c>
      <c r="C494" s="46" t="str">
        <f>Source!G204</f>
        <v>Пробивка отверстий в кирпичных стенах  вручную  диам.30мм.</v>
      </c>
      <c r="D494" s="29" t="str">
        <f>Source!H204</f>
        <v>100 ШТ</v>
      </c>
      <c r="E494" s="11">
        <f>Source!I204</f>
        <v>0.08</v>
      </c>
      <c r="F494" s="30">
        <f>Source!AL204+Source!AM204+Source!AO204</f>
        <v>933.66</v>
      </c>
      <c r="G494" s="31"/>
      <c r="H494" s="30"/>
      <c r="I494" s="31" t="str">
        <f>Source!BO204</f>
        <v/>
      </c>
      <c r="J494" s="31"/>
      <c r="K494" s="30"/>
      <c r="L494" s="32"/>
      <c r="S494">
        <f>ROUND((Source!FX204/100)*((ROUND(Source!AF204*Source!I204, 2)+ROUND(Source!AE204*Source!I204, 2))), 2)</f>
        <v>58.26</v>
      </c>
      <c r="T494">
        <f>Source!X204</f>
        <v>390.93</v>
      </c>
      <c r="U494">
        <f>ROUND((Source!FY204/100)*((ROUND(Source!AF204*Source!I204, 2)+ROUND(Source!AE204*Source!I204, 2))), 2)</f>
        <v>37.35</v>
      </c>
      <c r="V494">
        <f>Source!Y204</f>
        <v>250.6</v>
      </c>
    </row>
    <row r="495" spans="1:26" x14ac:dyDescent="0.2">
      <c r="C495" s="23" t="str">
        <f>"Объем: "&amp;Source!I204&amp;"=8/"&amp;"100"</f>
        <v>Объем: 0,08=8/100</v>
      </c>
    </row>
    <row r="496" spans="1:26" ht="14.25" x14ac:dyDescent="0.2">
      <c r="A496" s="45"/>
      <c r="B496" s="46"/>
      <c r="C496" s="46" t="s">
        <v>1083</v>
      </c>
      <c r="D496" s="29"/>
      <c r="E496" s="11"/>
      <c r="F496" s="30">
        <f>Source!AO204</f>
        <v>933.66</v>
      </c>
      <c r="G496" s="31" t="str">
        <f>Source!DG204</f>
        <v/>
      </c>
      <c r="H496" s="30">
        <f>ROUND(Source!AF204*Source!I204, 2)</f>
        <v>74.69</v>
      </c>
      <c r="I496" s="31"/>
      <c r="J496" s="31">
        <f>IF(Source!BA204&lt;&gt; 0, Source!BA204, 1)</f>
        <v>6.71</v>
      </c>
      <c r="K496" s="30">
        <f>Source!S204</f>
        <v>501.19</v>
      </c>
      <c r="L496" s="32"/>
      <c r="R496">
        <f>H496</f>
        <v>74.69</v>
      </c>
    </row>
    <row r="497" spans="1:26" ht="14.25" x14ac:dyDescent="0.2">
      <c r="A497" s="45"/>
      <c r="B497" s="46"/>
      <c r="C497" s="46" t="s">
        <v>1085</v>
      </c>
      <c r="D497" s="29" t="s">
        <v>1086</v>
      </c>
      <c r="E497" s="11">
        <f>Source!BZ204</f>
        <v>78</v>
      </c>
      <c r="F497" s="49"/>
      <c r="G497" s="31"/>
      <c r="H497" s="30">
        <f>SUM(S494:S499)</f>
        <v>58.26</v>
      </c>
      <c r="I497" s="34"/>
      <c r="J497" s="27">
        <f>Source!AT204</f>
        <v>78</v>
      </c>
      <c r="K497" s="30">
        <f>SUM(T494:T499)</f>
        <v>390.93</v>
      </c>
      <c r="L497" s="32"/>
    </row>
    <row r="498" spans="1:26" ht="14.25" x14ac:dyDescent="0.2">
      <c r="A498" s="45"/>
      <c r="B498" s="46"/>
      <c r="C498" s="46" t="s">
        <v>1087</v>
      </c>
      <c r="D498" s="29" t="s">
        <v>1086</v>
      </c>
      <c r="E498" s="11">
        <f>Source!CA204</f>
        <v>50</v>
      </c>
      <c r="F498" s="49"/>
      <c r="G498" s="31"/>
      <c r="H498" s="30">
        <f>SUM(U494:U499)</f>
        <v>37.35</v>
      </c>
      <c r="I498" s="34"/>
      <c r="J498" s="27">
        <f>Source!AU204</f>
        <v>50</v>
      </c>
      <c r="K498" s="30">
        <f>SUM(V494:V499)</f>
        <v>250.6</v>
      </c>
      <c r="L498" s="32"/>
    </row>
    <row r="499" spans="1:26" ht="14.25" x14ac:dyDescent="0.2">
      <c r="A499" s="47"/>
      <c r="B499" s="48"/>
      <c r="C499" s="48" t="s">
        <v>1088</v>
      </c>
      <c r="D499" s="35" t="s">
        <v>1089</v>
      </c>
      <c r="E499" s="36">
        <f>Source!AQ204</f>
        <v>119.7</v>
      </c>
      <c r="F499" s="37"/>
      <c r="G499" s="38" t="str">
        <f>Source!DI204</f>
        <v/>
      </c>
      <c r="H499" s="37"/>
      <c r="I499" s="38"/>
      <c r="J499" s="38"/>
      <c r="K499" s="37"/>
      <c r="L499" s="39">
        <f>Source!U204</f>
        <v>9.5760000000000005</v>
      </c>
    </row>
    <row r="500" spans="1:26" ht="15" x14ac:dyDescent="0.25">
      <c r="G500" s="69">
        <f>H496+H497+H498</f>
        <v>170.29999999999998</v>
      </c>
      <c r="H500" s="69"/>
      <c r="J500" s="69">
        <f>K496+K497+K498</f>
        <v>1142.72</v>
      </c>
      <c r="K500" s="69"/>
      <c r="L500" s="40">
        <f>Source!U204</f>
        <v>9.5760000000000005</v>
      </c>
      <c r="O500" s="24">
        <f>G500</f>
        <v>170.29999999999998</v>
      </c>
      <c r="P500" s="24">
        <f>J500</f>
        <v>1142.72</v>
      </c>
      <c r="Q500" s="24">
        <f>L500</f>
        <v>9.5760000000000005</v>
      </c>
      <c r="W500">
        <f>IF(Source!BI204&lt;=1,H496+H497+H498, 0)</f>
        <v>170.29999999999998</v>
      </c>
      <c r="X500">
        <f>IF(Source!BI204=2,H496+H497+H498, 0)</f>
        <v>0</v>
      </c>
      <c r="Y500">
        <f>IF(Source!BI204=3,H496+H497+H498, 0)</f>
        <v>0</v>
      </c>
      <c r="Z500">
        <f>IF(Source!BI204=4,H496+H497+H498, 0)</f>
        <v>0</v>
      </c>
    </row>
    <row r="501" spans="1:26" ht="28.5" x14ac:dyDescent="0.2">
      <c r="A501" s="45" t="str">
        <f>Source!E205</f>
        <v>47</v>
      </c>
      <c r="B501" s="46" t="str">
        <f>Source!F205</f>
        <v>м08-02-409-01</v>
      </c>
      <c r="C501" s="46" t="str">
        <f>Source!G205</f>
        <v>Прокладка  гильз из трубы ПНД, диаметр до 30 мм</v>
      </c>
      <c r="D501" s="29" t="str">
        <f>Source!H205</f>
        <v>100 м</v>
      </c>
      <c r="E501" s="11">
        <f>Source!I205</f>
        <v>2.4E-2</v>
      </c>
      <c r="F501" s="30">
        <f>Source!AL205+Source!AM205+Source!AO205</f>
        <v>231.35999999999999</v>
      </c>
      <c r="G501" s="31"/>
      <c r="H501" s="30"/>
      <c r="I501" s="31" t="str">
        <f>Source!BO205</f>
        <v/>
      </c>
      <c r="J501" s="31"/>
      <c r="K501" s="30"/>
      <c r="L501" s="32"/>
      <c r="S501">
        <f>ROUND((Source!FX205/100)*((ROUND(Source!AF205*Source!I205, 2)+ROUND(Source!AE205*Source!I205, 2))), 2)</f>
        <v>4.96</v>
      </c>
      <c r="T501">
        <f>Source!X205</f>
        <v>33.28</v>
      </c>
      <c r="U501">
        <f>ROUND((Source!FY205/100)*((ROUND(Source!AF205*Source!I205, 2)+ROUND(Source!AE205*Source!I205, 2))), 2)</f>
        <v>3.39</v>
      </c>
      <c r="V501">
        <f>Source!Y205</f>
        <v>22.77</v>
      </c>
    </row>
    <row r="502" spans="1:26" x14ac:dyDescent="0.2">
      <c r="C502" s="23" t="str">
        <f>"Объем: "&amp;Source!I205&amp;"=2,4/"&amp;"100"</f>
        <v>Объем: 0,024=2,4/100</v>
      </c>
    </row>
    <row r="503" spans="1:26" ht="14.25" x14ac:dyDescent="0.2">
      <c r="A503" s="45"/>
      <c r="B503" s="46"/>
      <c r="C503" s="46" t="s">
        <v>1083</v>
      </c>
      <c r="D503" s="29"/>
      <c r="E503" s="11"/>
      <c r="F503" s="30">
        <f>Source!AO205</f>
        <v>178.98</v>
      </c>
      <c r="G503" s="31" t="str">
        <f>Source!DG205</f>
        <v>)*1,2</v>
      </c>
      <c r="H503" s="30">
        <f>ROUND(Source!AF205*Source!I205, 2)</f>
        <v>5.15</v>
      </c>
      <c r="I503" s="31"/>
      <c r="J503" s="31">
        <f>IF(Source!BA205&lt;&gt; 0, Source!BA205, 1)</f>
        <v>6.71</v>
      </c>
      <c r="K503" s="30">
        <f>Source!S205</f>
        <v>34.590000000000003</v>
      </c>
      <c r="L503" s="32"/>
      <c r="R503">
        <f>H503</f>
        <v>5.15</v>
      </c>
    </row>
    <row r="504" spans="1:26" ht="14.25" x14ac:dyDescent="0.2">
      <c r="A504" s="45"/>
      <c r="B504" s="46"/>
      <c r="C504" s="46" t="s">
        <v>139</v>
      </c>
      <c r="D504" s="29"/>
      <c r="E504" s="11"/>
      <c r="F504" s="30">
        <f>Source!AM205</f>
        <v>33.49</v>
      </c>
      <c r="G504" s="31" t="str">
        <f>Source!DE205</f>
        <v>)*1,2</v>
      </c>
      <c r="H504" s="30">
        <f>ROUND(Source!AD205*Source!I205, 2)</f>
        <v>0.96</v>
      </c>
      <c r="I504" s="31"/>
      <c r="J504" s="31">
        <f>IF(Source!BB205&lt;&gt; 0, Source!BB205, 1)</f>
        <v>6.71</v>
      </c>
      <c r="K504" s="30">
        <f>Source!Q205</f>
        <v>6.47</v>
      </c>
      <c r="L504" s="32"/>
    </row>
    <row r="505" spans="1:26" ht="14.25" x14ac:dyDescent="0.2">
      <c r="A505" s="45"/>
      <c r="B505" s="46"/>
      <c r="C505" s="46" t="s">
        <v>1084</v>
      </c>
      <c r="D505" s="29"/>
      <c r="E505" s="11"/>
      <c r="F505" s="30">
        <f>Source!AN205</f>
        <v>2.2599999999999998</v>
      </c>
      <c r="G505" s="31" t="str">
        <f>Source!DF205</f>
        <v>)*1,2</v>
      </c>
      <c r="H505" s="33">
        <f>ROUND(Source!AE205*Source!I205, 2)</f>
        <v>7.0000000000000007E-2</v>
      </c>
      <c r="I505" s="31"/>
      <c r="J505" s="31">
        <f>IF(Source!BS205&lt;&gt; 0, Source!BS205, 1)</f>
        <v>6.71</v>
      </c>
      <c r="K505" s="33">
        <f>Source!R205</f>
        <v>0.44</v>
      </c>
      <c r="L505" s="32"/>
      <c r="R505">
        <f>H505</f>
        <v>7.0000000000000007E-2</v>
      </c>
    </row>
    <row r="506" spans="1:26" ht="14.25" x14ac:dyDescent="0.2">
      <c r="A506" s="45"/>
      <c r="B506" s="46"/>
      <c r="C506" s="46" t="s">
        <v>1090</v>
      </c>
      <c r="D506" s="29"/>
      <c r="E506" s="11"/>
      <c r="F506" s="30">
        <f>Source!AL205</f>
        <v>18.89</v>
      </c>
      <c r="G506" s="31" t="str">
        <f>Source!DD205</f>
        <v/>
      </c>
      <c r="H506" s="30">
        <f>ROUND(Source!AC205*Source!I205, 2)</f>
        <v>0.45</v>
      </c>
      <c r="I506" s="31"/>
      <c r="J506" s="31">
        <f>IF(Source!BC205&lt;&gt; 0, Source!BC205, 1)</f>
        <v>6.71</v>
      </c>
      <c r="K506" s="30">
        <f>Source!P205</f>
        <v>3.04</v>
      </c>
      <c r="L506" s="32"/>
    </row>
    <row r="507" spans="1:26" ht="14.25" x14ac:dyDescent="0.2">
      <c r="A507" s="45"/>
      <c r="B507" s="46"/>
      <c r="C507" s="46" t="s">
        <v>1085</v>
      </c>
      <c r="D507" s="29" t="s">
        <v>1086</v>
      </c>
      <c r="E507" s="11">
        <f>Source!BZ205</f>
        <v>95</v>
      </c>
      <c r="F507" s="49"/>
      <c r="G507" s="31"/>
      <c r="H507" s="30">
        <f>SUM(S501:S510)</f>
        <v>4.96</v>
      </c>
      <c r="I507" s="34"/>
      <c r="J507" s="27">
        <f>Source!AT205</f>
        <v>95</v>
      </c>
      <c r="K507" s="30">
        <f>SUM(T501:T510)</f>
        <v>33.28</v>
      </c>
      <c r="L507" s="32"/>
    </row>
    <row r="508" spans="1:26" ht="14.25" x14ac:dyDescent="0.2">
      <c r="A508" s="45"/>
      <c r="B508" s="46"/>
      <c r="C508" s="46" t="s">
        <v>1087</v>
      </c>
      <c r="D508" s="29" t="s">
        <v>1086</v>
      </c>
      <c r="E508" s="11">
        <f>Source!CA205</f>
        <v>65</v>
      </c>
      <c r="F508" s="49"/>
      <c r="G508" s="31"/>
      <c r="H508" s="30">
        <f>SUM(U501:U510)</f>
        <v>3.39</v>
      </c>
      <c r="I508" s="34"/>
      <c r="J508" s="27">
        <f>Source!AU205</f>
        <v>65</v>
      </c>
      <c r="K508" s="30">
        <f>SUM(V501:V510)</f>
        <v>22.77</v>
      </c>
      <c r="L508" s="32"/>
    </row>
    <row r="509" spans="1:26" ht="14.25" x14ac:dyDescent="0.2">
      <c r="A509" s="45"/>
      <c r="B509" s="46"/>
      <c r="C509" s="46" t="s">
        <v>1088</v>
      </c>
      <c r="D509" s="29" t="s">
        <v>1089</v>
      </c>
      <c r="E509" s="11">
        <f>Source!AQ205</f>
        <v>19.04</v>
      </c>
      <c r="F509" s="30"/>
      <c r="G509" s="31" t="str">
        <f>Source!DI205</f>
        <v>)*1,2</v>
      </c>
      <c r="H509" s="30"/>
      <c r="I509" s="31"/>
      <c r="J509" s="31"/>
      <c r="K509" s="30"/>
      <c r="L509" s="41">
        <f>Source!U205</f>
        <v>0.54835199999999995</v>
      </c>
    </row>
    <row r="510" spans="1:26" ht="42.75" x14ac:dyDescent="0.2">
      <c r="A510" s="47" t="str">
        <f>Source!E206</f>
        <v>47,1</v>
      </c>
      <c r="B510" s="48" t="str">
        <f>Source!F206</f>
        <v>24.3.01.03-0023</v>
      </c>
      <c r="C510" s="48" t="str">
        <f>Source!G206</f>
        <v>Трубы жесткие гладкие тяжелые из самозатухающего ПВХ (IP55) серии RIG, диаметром 25 мм</v>
      </c>
      <c r="D510" s="35" t="str">
        <f>Source!H206</f>
        <v>10 м</v>
      </c>
      <c r="E510" s="36">
        <f>Source!I206</f>
        <v>0.24</v>
      </c>
      <c r="F510" s="37">
        <f>Source!AL206+Source!AM206+Source!AO206</f>
        <v>86.76</v>
      </c>
      <c r="G510" s="42" t="s">
        <v>6</v>
      </c>
      <c r="H510" s="37">
        <f>ROUND(Source!AC206*Source!I206, 2)+ROUND(Source!AD206*Source!I206, 2)+ROUND(Source!AF206*Source!I206, 2)</f>
        <v>20.82</v>
      </c>
      <c r="I510" s="38"/>
      <c r="J510" s="38">
        <f>IF(Source!BC206&lt;&gt; 0, Source!BC206, 1)</f>
        <v>6.71</v>
      </c>
      <c r="K510" s="37">
        <f>Source!O206</f>
        <v>139.72</v>
      </c>
      <c r="L510" s="43"/>
      <c r="S510">
        <f>ROUND((Source!FX206/100)*((ROUND(Source!AF206*Source!I206, 2)+ROUND(Source!AE206*Source!I206, 2))), 2)</f>
        <v>0</v>
      </c>
      <c r="T510">
        <f>Source!X206</f>
        <v>0</v>
      </c>
      <c r="U510">
        <f>ROUND((Source!FY206/100)*((ROUND(Source!AF206*Source!I206, 2)+ROUND(Source!AE206*Source!I206, 2))), 2)</f>
        <v>0</v>
      </c>
      <c r="V510">
        <f>Source!Y206</f>
        <v>0</v>
      </c>
      <c r="W510">
        <f>IF(Source!BI206&lt;=1,H510, 0)</f>
        <v>0</v>
      </c>
      <c r="X510">
        <f>IF(Source!BI206=2,H510, 0)</f>
        <v>20.82</v>
      </c>
      <c r="Y510">
        <f>IF(Source!BI206=3,H510, 0)</f>
        <v>0</v>
      </c>
      <c r="Z510">
        <f>IF(Source!BI206=4,H510, 0)</f>
        <v>0</v>
      </c>
    </row>
    <row r="511" spans="1:26" ht="15" x14ac:dyDescent="0.25">
      <c r="G511" s="69">
        <f>H503+H504+H506+H507+H508+SUM(H510:H510)</f>
        <v>35.730000000000004</v>
      </c>
      <c r="H511" s="69"/>
      <c r="J511" s="69">
        <f>K503+K504+K506+K507+K508+SUM(K510:K510)</f>
        <v>239.87</v>
      </c>
      <c r="K511" s="69"/>
      <c r="L511" s="40">
        <f>Source!U205</f>
        <v>0.54835199999999995</v>
      </c>
      <c r="O511" s="24">
        <f>G511</f>
        <v>35.730000000000004</v>
      </c>
      <c r="P511" s="24">
        <f>J511</f>
        <v>239.87</v>
      </c>
      <c r="Q511" s="24">
        <f>L511</f>
        <v>0.54835199999999995</v>
      </c>
      <c r="W511">
        <f>IF(Source!BI205&lt;=1,H503+H504+H506+H507+H508, 0)</f>
        <v>0</v>
      </c>
      <c r="X511">
        <f>IF(Source!BI205=2,H503+H504+H506+H507+H508, 0)</f>
        <v>14.91</v>
      </c>
      <c r="Y511">
        <f>IF(Source!BI205=3,H503+H504+H506+H507+H508, 0)</f>
        <v>0</v>
      </c>
      <c r="Z511">
        <f>IF(Source!BI205=4,H503+H504+H506+H507+H508, 0)</f>
        <v>0</v>
      </c>
    </row>
    <row r="512" spans="1:26" ht="57" x14ac:dyDescent="0.2">
      <c r="A512" s="45" t="str">
        <f>Source!E207</f>
        <v>48</v>
      </c>
      <c r="B512" s="46" t="str">
        <f>Source!F207</f>
        <v>м08-03-594-08</v>
      </c>
      <c r="C512" s="46" t="str">
        <f>Source!G207</f>
        <v>Установка светильников  отдельно устанавливаемый на подвесах (штангах) (светодиодных ранее демонтированых)</v>
      </c>
      <c r="D512" s="29" t="str">
        <f>Source!H207</f>
        <v>100 ШТ</v>
      </c>
      <c r="E512" s="11">
        <f>Source!I207</f>
        <v>0.48</v>
      </c>
      <c r="F512" s="30">
        <f>Source!AL207+Source!AM207+Source!AO207</f>
        <v>1663.44</v>
      </c>
      <c r="G512" s="31"/>
      <c r="H512" s="30"/>
      <c r="I512" s="31" t="str">
        <f>Source!BO207</f>
        <v/>
      </c>
      <c r="J512" s="31"/>
      <c r="K512" s="30"/>
      <c r="L512" s="32"/>
      <c r="S512">
        <f>ROUND((Source!FX207/100)*((ROUND(Source!AF207*Source!I207, 2)+ROUND(Source!AE207*Source!I207, 2))), 2)</f>
        <v>807.5</v>
      </c>
      <c r="T512">
        <f>Source!X207</f>
        <v>5418.32</v>
      </c>
      <c r="U512">
        <f>ROUND((Source!FY207/100)*((ROUND(Source!AF207*Source!I207, 2)+ROUND(Source!AE207*Source!I207, 2))), 2)</f>
        <v>552.5</v>
      </c>
      <c r="V512">
        <f>Source!Y207</f>
        <v>3707.27</v>
      </c>
    </row>
    <row r="513" spans="1:26" x14ac:dyDescent="0.2">
      <c r="C513" s="23" t="str">
        <f>"Объем: "&amp;Source!I207&amp;"=48/"&amp;"100"</f>
        <v>Объем: 0,48=48/100</v>
      </c>
    </row>
    <row r="514" spans="1:26" ht="14.25" x14ac:dyDescent="0.2">
      <c r="A514" s="45"/>
      <c r="B514" s="46"/>
      <c r="C514" s="46" t="s">
        <v>1083</v>
      </c>
      <c r="D514" s="29"/>
      <c r="E514" s="11"/>
      <c r="F514" s="30">
        <f>Source!AO207</f>
        <v>1468.16</v>
      </c>
      <c r="G514" s="31" t="str">
        <f>Source!DG207</f>
        <v>)*1,2</v>
      </c>
      <c r="H514" s="30">
        <f>ROUND(Source!AF207*Source!I207, 2)</f>
        <v>845.66</v>
      </c>
      <c r="I514" s="31"/>
      <c r="J514" s="31">
        <f>IF(Source!BA207&lt;&gt; 0, Source!BA207, 1)</f>
        <v>6.71</v>
      </c>
      <c r="K514" s="30">
        <f>Source!S207</f>
        <v>5674.37</v>
      </c>
      <c r="L514" s="32"/>
      <c r="R514">
        <f>H514</f>
        <v>845.66</v>
      </c>
    </row>
    <row r="515" spans="1:26" ht="14.25" x14ac:dyDescent="0.2">
      <c r="A515" s="45"/>
      <c r="B515" s="46"/>
      <c r="C515" s="46" t="s">
        <v>139</v>
      </c>
      <c r="D515" s="29"/>
      <c r="E515" s="11"/>
      <c r="F515" s="30">
        <f>Source!AM207</f>
        <v>53.31</v>
      </c>
      <c r="G515" s="31" t="str">
        <f>Source!DE207</f>
        <v>)*1,2</v>
      </c>
      <c r="H515" s="30">
        <f>ROUND(Source!AD207*Source!I207, 2)</f>
        <v>30.71</v>
      </c>
      <c r="I515" s="31"/>
      <c r="J515" s="31">
        <f>IF(Source!BB207&lt;&gt; 0, Source!BB207, 1)</f>
        <v>6.71</v>
      </c>
      <c r="K515" s="30">
        <f>Source!Q207</f>
        <v>206.07</v>
      </c>
      <c r="L515" s="32"/>
    </row>
    <row r="516" spans="1:26" ht="14.25" x14ac:dyDescent="0.2">
      <c r="A516" s="45"/>
      <c r="B516" s="46"/>
      <c r="C516" s="46" t="s">
        <v>1084</v>
      </c>
      <c r="D516" s="29"/>
      <c r="E516" s="11"/>
      <c r="F516" s="30">
        <f>Source!AN207</f>
        <v>7.53</v>
      </c>
      <c r="G516" s="31" t="str">
        <f>Source!DF207</f>
        <v>)*1,2</v>
      </c>
      <c r="H516" s="33">
        <f>ROUND(Source!AE207*Source!I207, 2)</f>
        <v>4.34</v>
      </c>
      <c r="I516" s="31"/>
      <c r="J516" s="31">
        <f>IF(Source!BS207&lt;&gt; 0, Source!BS207, 1)</f>
        <v>6.71</v>
      </c>
      <c r="K516" s="33">
        <f>Source!R207</f>
        <v>29.12</v>
      </c>
      <c r="L516" s="32"/>
      <c r="R516">
        <f>H516</f>
        <v>4.34</v>
      </c>
    </row>
    <row r="517" spans="1:26" ht="14.25" x14ac:dyDescent="0.2">
      <c r="A517" s="45"/>
      <c r="B517" s="46"/>
      <c r="C517" s="46" t="s">
        <v>1090</v>
      </c>
      <c r="D517" s="29"/>
      <c r="E517" s="11"/>
      <c r="F517" s="30">
        <f>Source!AL207</f>
        <v>141.97</v>
      </c>
      <c r="G517" s="31" t="str">
        <f>Source!DD207</f>
        <v/>
      </c>
      <c r="H517" s="30">
        <f>ROUND(Source!AC207*Source!I207, 2)</f>
        <v>68.150000000000006</v>
      </c>
      <c r="I517" s="31"/>
      <c r="J517" s="31">
        <f>IF(Source!BC207&lt;&gt; 0, Source!BC207, 1)</f>
        <v>6.71</v>
      </c>
      <c r="K517" s="30">
        <f>Source!P207</f>
        <v>457.26</v>
      </c>
      <c r="L517" s="32"/>
    </row>
    <row r="518" spans="1:26" ht="14.25" x14ac:dyDescent="0.2">
      <c r="A518" s="45"/>
      <c r="B518" s="46"/>
      <c r="C518" s="46" t="s">
        <v>1085</v>
      </c>
      <c r="D518" s="29" t="s">
        <v>1086</v>
      </c>
      <c r="E518" s="11">
        <f>Source!BZ207</f>
        <v>95</v>
      </c>
      <c r="F518" s="49"/>
      <c r="G518" s="31"/>
      <c r="H518" s="30">
        <f>SUM(S512:S520)</f>
        <v>807.5</v>
      </c>
      <c r="I518" s="34"/>
      <c r="J518" s="27">
        <f>Source!AT207</f>
        <v>95</v>
      </c>
      <c r="K518" s="30">
        <f>SUM(T512:T520)</f>
        <v>5418.32</v>
      </c>
      <c r="L518" s="32"/>
    </row>
    <row r="519" spans="1:26" ht="14.25" x14ac:dyDescent="0.2">
      <c r="A519" s="45"/>
      <c r="B519" s="46"/>
      <c r="C519" s="46" t="s">
        <v>1087</v>
      </c>
      <c r="D519" s="29" t="s">
        <v>1086</v>
      </c>
      <c r="E519" s="11">
        <f>Source!CA207</f>
        <v>65</v>
      </c>
      <c r="F519" s="49"/>
      <c r="G519" s="31"/>
      <c r="H519" s="30">
        <f>SUM(U512:U520)</f>
        <v>552.5</v>
      </c>
      <c r="I519" s="34"/>
      <c r="J519" s="27">
        <f>Source!AU207</f>
        <v>65</v>
      </c>
      <c r="K519" s="30">
        <f>SUM(V512:V520)</f>
        <v>3707.27</v>
      </c>
      <c r="L519" s="32"/>
    </row>
    <row r="520" spans="1:26" ht="14.25" x14ac:dyDescent="0.2">
      <c r="A520" s="47"/>
      <c r="B520" s="48"/>
      <c r="C520" s="48" t="s">
        <v>1088</v>
      </c>
      <c r="D520" s="35" t="s">
        <v>1089</v>
      </c>
      <c r="E520" s="36">
        <f>Source!AQ207</f>
        <v>148</v>
      </c>
      <c r="F520" s="37"/>
      <c r="G520" s="38" t="str">
        <f>Source!DI207</f>
        <v>)*1,2</v>
      </c>
      <c r="H520" s="37"/>
      <c r="I520" s="38"/>
      <c r="J520" s="38"/>
      <c r="K520" s="37"/>
      <c r="L520" s="39">
        <f>Source!U207</f>
        <v>85.24799999999999</v>
      </c>
    </row>
    <row r="521" spans="1:26" ht="15" x14ac:dyDescent="0.25">
      <c r="G521" s="69">
        <f>H514+H515+H517+H518+H519</f>
        <v>2304.52</v>
      </c>
      <c r="H521" s="69"/>
      <c r="J521" s="69">
        <f>K514+K515+K517+K518+K519</f>
        <v>15463.29</v>
      </c>
      <c r="K521" s="69"/>
      <c r="L521" s="40">
        <f>Source!U207</f>
        <v>85.24799999999999</v>
      </c>
      <c r="O521" s="24">
        <f>G521</f>
        <v>2304.52</v>
      </c>
      <c r="P521" s="24">
        <f>J521</f>
        <v>15463.29</v>
      </c>
      <c r="Q521" s="24">
        <f>L521</f>
        <v>85.24799999999999</v>
      </c>
      <c r="W521">
        <f>IF(Source!BI207&lt;=1,H514+H515+H517+H518+H519, 0)</f>
        <v>0</v>
      </c>
      <c r="X521">
        <f>IF(Source!BI207=2,H514+H515+H517+H518+H519, 0)</f>
        <v>2304.52</v>
      </c>
      <c r="Y521">
        <f>IF(Source!BI207=3,H514+H515+H517+H518+H519, 0)</f>
        <v>0</v>
      </c>
      <c r="Z521">
        <f>IF(Source!BI207=4,H514+H515+H517+H518+H519, 0)</f>
        <v>0</v>
      </c>
    </row>
    <row r="522" spans="1:26" ht="42.75" x14ac:dyDescent="0.2">
      <c r="A522" s="45" t="str">
        <f>Source!E208</f>
        <v>49</v>
      </c>
      <c r="B522" s="46" t="str">
        <f>Source!F208</f>
        <v>м08-02-370-02 прим.</v>
      </c>
      <c r="C522" s="46" t="str">
        <f>Source!G208</f>
        <v>Щиток до трех групп, устанавливаемый в нише цоколя (бокс)</v>
      </c>
      <c r="D522" s="29" t="str">
        <f>Source!H208</f>
        <v>ШТ</v>
      </c>
      <c r="E522" s="11">
        <f>Source!I208</f>
        <v>8</v>
      </c>
      <c r="F522" s="30">
        <f>Source!AL208+Source!AM208+Source!AO208</f>
        <v>33.42</v>
      </c>
      <c r="G522" s="31"/>
      <c r="H522" s="30"/>
      <c r="I522" s="31" t="str">
        <f>Source!BO208</f>
        <v/>
      </c>
      <c r="J522" s="31"/>
      <c r="K522" s="30"/>
      <c r="L522" s="32"/>
      <c r="S522">
        <f>ROUND((Source!FX208/100)*((ROUND(Source!AF208*Source!I208, 2)+ROUND(Source!AE208*Source!I208, 2))), 2)</f>
        <v>109.06</v>
      </c>
      <c r="T522">
        <f>Source!X208</f>
        <v>731.79</v>
      </c>
      <c r="U522">
        <f>ROUND((Source!FY208/100)*((ROUND(Source!AF208*Source!I208, 2)+ROUND(Source!AE208*Source!I208, 2))), 2)</f>
        <v>74.62</v>
      </c>
      <c r="V522">
        <f>Source!Y208</f>
        <v>500.7</v>
      </c>
    </row>
    <row r="523" spans="1:26" ht="14.25" x14ac:dyDescent="0.2">
      <c r="A523" s="45"/>
      <c r="B523" s="46"/>
      <c r="C523" s="46" t="s">
        <v>1083</v>
      </c>
      <c r="D523" s="29"/>
      <c r="E523" s="11"/>
      <c r="F523" s="30">
        <f>Source!AO208</f>
        <v>9.4499999999999993</v>
      </c>
      <c r="G523" s="31" t="str">
        <f>Source!DG208</f>
        <v>)*1,2</v>
      </c>
      <c r="H523" s="30">
        <f>ROUND(Source!AF208*Source!I208, 2)</f>
        <v>90.72</v>
      </c>
      <c r="I523" s="31"/>
      <c r="J523" s="31">
        <f>IF(Source!BA208&lt;&gt; 0, Source!BA208, 1)</f>
        <v>6.71</v>
      </c>
      <c r="K523" s="30">
        <f>Source!S208</f>
        <v>608.73</v>
      </c>
      <c r="L523" s="32"/>
      <c r="R523">
        <f>H523</f>
        <v>90.72</v>
      </c>
    </row>
    <row r="524" spans="1:26" ht="14.25" x14ac:dyDescent="0.2">
      <c r="A524" s="45"/>
      <c r="B524" s="46"/>
      <c r="C524" s="46" t="s">
        <v>139</v>
      </c>
      <c r="D524" s="29"/>
      <c r="E524" s="11"/>
      <c r="F524" s="30">
        <f>Source!AM208</f>
        <v>17.77</v>
      </c>
      <c r="G524" s="31" t="str">
        <f>Source!DE208</f>
        <v>)*1,2</v>
      </c>
      <c r="H524" s="30">
        <f>ROUND(Source!AD208*Source!I208, 2)</f>
        <v>170.56</v>
      </c>
      <c r="I524" s="31"/>
      <c r="J524" s="31">
        <f>IF(Source!BB208&lt;&gt; 0, Source!BB208, 1)</f>
        <v>6.71</v>
      </c>
      <c r="K524" s="30">
        <f>Source!Q208</f>
        <v>1144.46</v>
      </c>
      <c r="L524" s="32"/>
    </row>
    <row r="525" spans="1:26" ht="14.25" x14ac:dyDescent="0.2">
      <c r="A525" s="45"/>
      <c r="B525" s="46"/>
      <c r="C525" s="46" t="s">
        <v>1084</v>
      </c>
      <c r="D525" s="29"/>
      <c r="E525" s="11"/>
      <c r="F525" s="30">
        <f>Source!AN208</f>
        <v>2.5099999999999998</v>
      </c>
      <c r="G525" s="31" t="str">
        <f>Source!DF208</f>
        <v>)*1,2</v>
      </c>
      <c r="H525" s="33">
        <f>ROUND(Source!AE208*Source!I208, 2)</f>
        <v>24.08</v>
      </c>
      <c r="I525" s="31"/>
      <c r="J525" s="31">
        <f>IF(Source!BS208&lt;&gt; 0, Source!BS208, 1)</f>
        <v>6.71</v>
      </c>
      <c r="K525" s="33">
        <f>Source!R208</f>
        <v>161.58000000000001</v>
      </c>
      <c r="L525" s="32"/>
      <c r="R525">
        <f>H525</f>
        <v>24.08</v>
      </c>
    </row>
    <row r="526" spans="1:26" ht="14.25" x14ac:dyDescent="0.2">
      <c r="A526" s="45"/>
      <c r="B526" s="46"/>
      <c r="C526" s="46" t="s">
        <v>1090</v>
      </c>
      <c r="D526" s="29"/>
      <c r="E526" s="11"/>
      <c r="F526" s="30">
        <f>Source!AL208</f>
        <v>6.2</v>
      </c>
      <c r="G526" s="31" t="str">
        <f>Source!DD208</f>
        <v/>
      </c>
      <c r="H526" s="30">
        <f>ROUND(Source!AC208*Source!I208, 2)</f>
        <v>49.6</v>
      </c>
      <c r="I526" s="31"/>
      <c r="J526" s="31">
        <f>IF(Source!BC208&lt;&gt; 0, Source!BC208, 1)</f>
        <v>6.71</v>
      </c>
      <c r="K526" s="30">
        <f>Source!P208</f>
        <v>332.82</v>
      </c>
      <c r="L526" s="32"/>
    </row>
    <row r="527" spans="1:26" ht="14.25" x14ac:dyDescent="0.2">
      <c r="A527" s="45"/>
      <c r="B527" s="46"/>
      <c r="C527" s="46" t="s">
        <v>1085</v>
      </c>
      <c r="D527" s="29" t="s">
        <v>1086</v>
      </c>
      <c r="E527" s="11">
        <f>Source!BZ208</f>
        <v>95</v>
      </c>
      <c r="F527" s="49"/>
      <c r="G527" s="31"/>
      <c r="H527" s="30">
        <f>SUM(S522:S530)</f>
        <v>109.06</v>
      </c>
      <c r="I527" s="34"/>
      <c r="J527" s="27">
        <f>Source!AT208</f>
        <v>95</v>
      </c>
      <c r="K527" s="30">
        <f>SUM(T522:T530)</f>
        <v>731.79</v>
      </c>
      <c r="L527" s="32"/>
    </row>
    <row r="528" spans="1:26" ht="14.25" x14ac:dyDescent="0.2">
      <c r="A528" s="45"/>
      <c r="B528" s="46"/>
      <c r="C528" s="46" t="s">
        <v>1087</v>
      </c>
      <c r="D528" s="29" t="s">
        <v>1086</v>
      </c>
      <c r="E528" s="11">
        <f>Source!CA208</f>
        <v>65</v>
      </c>
      <c r="F528" s="49"/>
      <c r="G528" s="31"/>
      <c r="H528" s="30">
        <f>SUM(U522:U530)</f>
        <v>74.62</v>
      </c>
      <c r="I528" s="34"/>
      <c r="J528" s="27">
        <f>Source!AU208</f>
        <v>65</v>
      </c>
      <c r="K528" s="30">
        <f>SUM(V522:V530)</f>
        <v>500.7</v>
      </c>
      <c r="L528" s="32"/>
    </row>
    <row r="529" spans="1:26" ht="14.25" x14ac:dyDescent="0.2">
      <c r="A529" s="45"/>
      <c r="B529" s="46"/>
      <c r="C529" s="46" t="s">
        <v>1088</v>
      </c>
      <c r="D529" s="29" t="s">
        <v>1089</v>
      </c>
      <c r="E529" s="11">
        <f>Source!AQ208</f>
        <v>0.9</v>
      </c>
      <c r="F529" s="30"/>
      <c r="G529" s="31" t="str">
        <f>Source!DI208</f>
        <v>)*1,2</v>
      </c>
      <c r="H529" s="30"/>
      <c r="I529" s="31"/>
      <c r="J529" s="31"/>
      <c r="K529" s="30"/>
      <c r="L529" s="41">
        <f>Source!U208</f>
        <v>8.64</v>
      </c>
    </row>
    <row r="530" spans="1:26" ht="28.5" x14ac:dyDescent="0.2">
      <c r="A530" s="47" t="str">
        <f>Source!E209</f>
        <v>49,1</v>
      </c>
      <c r="B530" s="48" t="str">
        <f>Source!F209</f>
        <v>22.1.01.02-0003</v>
      </c>
      <c r="C530" s="48" t="str">
        <f>Source!G209</f>
        <v>Бокс ЩРН-9 навесной (250х350х120)</v>
      </c>
      <c r="D530" s="35" t="str">
        <f>Source!H209</f>
        <v>шт.</v>
      </c>
      <c r="E530" s="36">
        <f>Source!I209</f>
        <v>8</v>
      </c>
      <c r="F530" s="37">
        <f>Source!AL209+Source!AM209+Source!AO209</f>
        <v>92.25</v>
      </c>
      <c r="G530" s="42" t="s">
        <v>6</v>
      </c>
      <c r="H530" s="37">
        <f>ROUND(Source!AC209*Source!I209, 2)+ROUND(Source!AD209*Source!I209, 2)+ROUND(Source!AF209*Source!I209, 2)</f>
        <v>738</v>
      </c>
      <c r="I530" s="38"/>
      <c r="J530" s="38">
        <f>IF(Source!BC209&lt;&gt; 0, Source!BC209, 1)</f>
        <v>6.71</v>
      </c>
      <c r="K530" s="37">
        <f>Source!O209</f>
        <v>4951.9799999999996</v>
      </c>
      <c r="L530" s="43"/>
      <c r="S530">
        <f>ROUND((Source!FX209/100)*((ROUND(Source!AF209*Source!I209, 2)+ROUND(Source!AE209*Source!I209, 2))), 2)</f>
        <v>0</v>
      </c>
      <c r="T530">
        <f>Source!X209</f>
        <v>0</v>
      </c>
      <c r="U530">
        <f>ROUND((Source!FY209/100)*((ROUND(Source!AF209*Source!I209, 2)+ROUND(Source!AE209*Source!I209, 2))), 2)</f>
        <v>0</v>
      </c>
      <c r="V530">
        <f>Source!Y209</f>
        <v>0</v>
      </c>
      <c r="W530">
        <f>IF(Source!BI209&lt;=1,H530, 0)</f>
        <v>0</v>
      </c>
      <c r="X530">
        <f>IF(Source!BI209=2,H530, 0)</f>
        <v>738</v>
      </c>
      <c r="Y530">
        <f>IF(Source!BI209=3,H530, 0)</f>
        <v>0</v>
      </c>
      <c r="Z530">
        <f>IF(Source!BI209=4,H530, 0)</f>
        <v>0</v>
      </c>
    </row>
    <row r="531" spans="1:26" ht="15" x14ac:dyDescent="0.25">
      <c r="G531" s="69">
        <f>H523+H524+H526+H527+H528+SUM(H530:H530)</f>
        <v>1232.56</v>
      </c>
      <c r="H531" s="69"/>
      <c r="J531" s="69">
        <f>K523+K524+K526+K527+K528+SUM(K530:K530)</f>
        <v>8270.48</v>
      </c>
      <c r="K531" s="69"/>
      <c r="L531" s="40">
        <f>Source!U208</f>
        <v>8.64</v>
      </c>
      <c r="O531" s="24">
        <f>G531</f>
        <v>1232.56</v>
      </c>
      <c r="P531" s="24">
        <f>J531</f>
        <v>8270.48</v>
      </c>
      <c r="Q531" s="24">
        <f>L531</f>
        <v>8.64</v>
      </c>
      <c r="W531">
        <f>IF(Source!BI208&lt;=1,H523+H524+H526+H527+H528, 0)</f>
        <v>0</v>
      </c>
      <c r="X531">
        <f>IF(Source!BI208=2,H523+H524+H526+H527+H528, 0)</f>
        <v>494.56</v>
      </c>
      <c r="Y531">
        <f>IF(Source!BI208=3,H523+H524+H526+H527+H528, 0)</f>
        <v>0</v>
      </c>
      <c r="Z531">
        <f>IF(Source!BI208=4,H523+H524+H526+H527+H528, 0)</f>
        <v>0</v>
      </c>
    </row>
    <row r="532" spans="1:26" ht="42.75" x14ac:dyDescent="0.2">
      <c r="A532" s="45" t="str">
        <f>Source!E210</f>
        <v>50</v>
      </c>
      <c r="B532" s="46" t="str">
        <f>Source!F210</f>
        <v>м08-03-526-01</v>
      </c>
      <c r="C532" s="46" t="str">
        <f>Source!G210</f>
        <v>Автомат одно-, двух-, трехполюсный, устанавливаемый на конструкции на стене или колонне, на ток до 25 А</v>
      </c>
      <c r="D532" s="29" t="str">
        <f>Source!H210</f>
        <v>ШТ</v>
      </c>
      <c r="E532" s="11">
        <f>Source!I210</f>
        <v>36</v>
      </c>
      <c r="F532" s="30">
        <f>Source!AL210+Source!AM210+Source!AO210</f>
        <v>35.980000000000004</v>
      </c>
      <c r="G532" s="31"/>
      <c r="H532" s="30"/>
      <c r="I532" s="31" t="str">
        <f>Source!BO210</f>
        <v/>
      </c>
      <c r="J532" s="31"/>
      <c r="K532" s="30"/>
      <c r="L532" s="32"/>
      <c r="S532">
        <f>ROUND((Source!FX210/100)*((ROUND(Source!AF210*Source!I210, 2)+ROUND(Source!AE210*Source!I210, 2))), 2)</f>
        <v>609.1</v>
      </c>
      <c r="T532">
        <f>Source!X210</f>
        <v>4087.07</v>
      </c>
      <c r="U532">
        <f>ROUND((Source!FY210/100)*((ROUND(Source!AF210*Source!I210, 2)+ROUND(Source!AE210*Source!I210, 2))), 2)</f>
        <v>416.75</v>
      </c>
      <c r="V532">
        <f>Source!Y210</f>
        <v>2796.42</v>
      </c>
    </row>
    <row r="533" spans="1:26" ht="14.25" x14ac:dyDescent="0.2">
      <c r="A533" s="45"/>
      <c r="B533" s="46"/>
      <c r="C533" s="46" t="s">
        <v>1083</v>
      </c>
      <c r="D533" s="29"/>
      <c r="E533" s="11"/>
      <c r="F533" s="30">
        <f>Source!AO210</f>
        <v>14.84</v>
      </c>
      <c r="G533" s="31" t="str">
        <f>Source!DG210</f>
        <v>)*1,2</v>
      </c>
      <c r="H533" s="30">
        <f>ROUND(Source!AF210*Source!I210, 2)</f>
        <v>641.16</v>
      </c>
      <c r="I533" s="31"/>
      <c r="J533" s="31">
        <f>IF(Source!BA210&lt;&gt; 0, Source!BA210, 1)</f>
        <v>6.71</v>
      </c>
      <c r="K533" s="30">
        <f>Source!S210</f>
        <v>4302.18</v>
      </c>
      <c r="L533" s="32"/>
      <c r="R533">
        <f>H533</f>
        <v>641.16</v>
      </c>
    </row>
    <row r="534" spans="1:26" ht="14.25" x14ac:dyDescent="0.2">
      <c r="A534" s="45"/>
      <c r="B534" s="46"/>
      <c r="C534" s="46" t="s">
        <v>139</v>
      </c>
      <c r="D534" s="29"/>
      <c r="E534" s="11"/>
      <c r="F534" s="30">
        <f>Source!AM210</f>
        <v>1.05</v>
      </c>
      <c r="G534" s="31" t="str">
        <f>Source!DE210</f>
        <v>)*1,2</v>
      </c>
      <c r="H534" s="30">
        <f>ROUND(Source!AD210*Source!I210, 2)</f>
        <v>45.36</v>
      </c>
      <c r="I534" s="31"/>
      <c r="J534" s="31">
        <f>IF(Source!BB210&lt;&gt; 0, Source!BB210, 1)</f>
        <v>6.71</v>
      </c>
      <c r="K534" s="30">
        <f>Source!Q210</f>
        <v>304.37</v>
      </c>
      <c r="L534" s="32"/>
    </row>
    <row r="535" spans="1:26" ht="14.25" x14ac:dyDescent="0.2">
      <c r="A535" s="45"/>
      <c r="B535" s="46"/>
      <c r="C535" s="46" t="s">
        <v>1090</v>
      </c>
      <c r="D535" s="29"/>
      <c r="E535" s="11"/>
      <c r="F535" s="30">
        <f>Source!AL210</f>
        <v>20.09</v>
      </c>
      <c r="G535" s="31" t="str">
        <f>Source!DD210</f>
        <v/>
      </c>
      <c r="H535" s="30">
        <f>ROUND(Source!AC210*Source!I210, 2)</f>
        <v>723.24</v>
      </c>
      <c r="I535" s="31"/>
      <c r="J535" s="31">
        <f>IF(Source!BC210&lt;&gt; 0, Source!BC210, 1)</f>
        <v>6.71</v>
      </c>
      <c r="K535" s="30">
        <f>Source!P210</f>
        <v>4852.9399999999996</v>
      </c>
      <c r="L535" s="32"/>
    </row>
    <row r="536" spans="1:26" ht="14.25" x14ac:dyDescent="0.2">
      <c r="A536" s="45"/>
      <c r="B536" s="46"/>
      <c r="C536" s="46" t="s">
        <v>1085</v>
      </c>
      <c r="D536" s="29" t="s">
        <v>1086</v>
      </c>
      <c r="E536" s="11">
        <f>Source!BZ210</f>
        <v>95</v>
      </c>
      <c r="F536" s="49"/>
      <c r="G536" s="31"/>
      <c r="H536" s="30">
        <f>SUM(S532:S541)</f>
        <v>609.1</v>
      </c>
      <c r="I536" s="34"/>
      <c r="J536" s="27">
        <f>Source!AT210</f>
        <v>95</v>
      </c>
      <c r="K536" s="30">
        <f>SUM(T532:T541)</f>
        <v>4087.07</v>
      </c>
      <c r="L536" s="32"/>
    </row>
    <row r="537" spans="1:26" ht="14.25" x14ac:dyDescent="0.2">
      <c r="A537" s="45"/>
      <c r="B537" s="46"/>
      <c r="C537" s="46" t="s">
        <v>1087</v>
      </c>
      <c r="D537" s="29" t="s">
        <v>1086</v>
      </c>
      <c r="E537" s="11">
        <f>Source!CA210</f>
        <v>65</v>
      </c>
      <c r="F537" s="49"/>
      <c r="G537" s="31"/>
      <c r="H537" s="30">
        <f>SUM(U532:U541)</f>
        <v>416.75</v>
      </c>
      <c r="I537" s="34"/>
      <c r="J537" s="27">
        <f>Source!AU210</f>
        <v>65</v>
      </c>
      <c r="K537" s="30">
        <f>SUM(V532:V541)</f>
        <v>2796.42</v>
      </c>
      <c r="L537" s="32"/>
    </row>
    <row r="538" spans="1:26" ht="14.25" x14ac:dyDescent="0.2">
      <c r="A538" s="45"/>
      <c r="B538" s="46"/>
      <c r="C538" s="46" t="s">
        <v>1088</v>
      </c>
      <c r="D538" s="29" t="s">
        <v>1089</v>
      </c>
      <c r="E538" s="11">
        <f>Source!AQ210</f>
        <v>1.56</v>
      </c>
      <c r="F538" s="30"/>
      <c r="G538" s="31" t="str">
        <f>Source!DI210</f>
        <v>)*1,2</v>
      </c>
      <c r="H538" s="30"/>
      <c r="I538" s="31"/>
      <c r="J538" s="31"/>
      <c r="K538" s="30"/>
      <c r="L538" s="41">
        <f>Source!U210</f>
        <v>67.391999999999996</v>
      </c>
    </row>
    <row r="539" spans="1:26" ht="28.5" x14ac:dyDescent="0.2">
      <c r="A539" s="45" t="str">
        <f>Source!E211</f>
        <v>50,1</v>
      </c>
      <c r="B539" s="46" t="str">
        <f>Source!F211</f>
        <v>62.1.01.09-0083</v>
      </c>
      <c r="C539" s="46" t="str">
        <f>Source!G211</f>
        <v>Выключатели автоматические «АВВ» серии LR 2Р 25А прим.</v>
      </c>
      <c r="D539" s="29" t="str">
        <f>Source!H211</f>
        <v>шт.</v>
      </c>
      <c r="E539" s="11">
        <f>Source!I211</f>
        <v>8</v>
      </c>
      <c r="F539" s="30">
        <f>Source!AL211+Source!AM211+Source!AO211</f>
        <v>114.44</v>
      </c>
      <c r="G539" s="44" t="s">
        <v>6</v>
      </c>
      <c r="H539" s="30">
        <f>ROUND(Source!AC211*Source!I211, 2)+ROUND(Source!AD211*Source!I211, 2)+ROUND(Source!AF211*Source!I211, 2)</f>
        <v>915.52</v>
      </c>
      <c r="I539" s="31"/>
      <c r="J539" s="31">
        <f>IF(Source!BC211&lt;&gt; 0, Source!BC211, 1)</f>
        <v>6.71</v>
      </c>
      <c r="K539" s="30">
        <f>Source!O211</f>
        <v>6143.14</v>
      </c>
      <c r="L539" s="32"/>
      <c r="S539">
        <f>ROUND((Source!FX211/100)*((ROUND(Source!AF211*Source!I211, 2)+ROUND(Source!AE211*Source!I211, 2))), 2)</f>
        <v>0</v>
      </c>
      <c r="T539">
        <f>Source!X211</f>
        <v>0</v>
      </c>
      <c r="U539">
        <f>ROUND((Source!FY211/100)*((ROUND(Source!AF211*Source!I211, 2)+ROUND(Source!AE211*Source!I211, 2))), 2)</f>
        <v>0</v>
      </c>
      <c r="V539">
        <f>Source!Y211</f>
        <v>0</v>
      </c>
      <c r="W539">
        <f>IF(Source!BI211&lt;=1,H539, 0)</f>
        <v>0</v>
      </c>
      <c r="X539">
        <f>IF(Source!BI211=2,H539, 0)</f>
        <v>915.52</v>
      </c>
      <c r="Y539">
        <f>IF(Source!BI211=3,H539, 0)</f>
        <v>0</v>
      </c>
      <c r="Z539">
        <f>IF(Source!BI211=4,H539, 0)</f>
        <v>0</v>
      </c>
    </row>
    <row r="540" spans="1:26" ht="28.5" x14ac:dyDescent="0.2">
      <c r="A540" s="45" t="str">
        <f>Source!E212</f>
        <v>50,2</v>
      </c>
      <c r="B540" s="46" t="str">
        <f>Source!F212</f>
        <v>62.1.01.09-0074</v>
      </c>
      <c r="C540" s="46" t="str">
        <f>Source!G212</f>
        <v>Выключатели автоматические «АВВ» серии LR 1Р 16А прим.</v>
      </c>
      <c r="D540" s="29" t="str">
        <f>Source!H212</f>
        <v>шт.</v>
      </c>
      <c r="E540" s="11">
        <f>Source!I212</f>
        <v>8</v>
      </c>
      <c r="F540" s="30">
        <f>Source!AL212+Source!AM212+Source!AO212</f>
        <v>41.95</v>
      </c>
      <c r="G540" s="44" t="s">
        <v>6</v>
      </c>
      <c r="H540" s="30">
        <f>ROUND(Source!AC212*Source!I212, 2)+ROUND(Source!AD212*Source!I212, 2)+ROUND(Source!AF212*Source!I212, 2)</f>
        <v>335.6</v>
      </c>
      <c r="I540" s="31"/>
      <c r="J540" s="31">
        <f>IF(Source!BC212&lt;&gt; 0, Source!BC212, 1)</f>
        <v>6.71</v>
      </c>
      <c r="K540" s="30">
        <f>Source!O212</f>
        <v>2251.88</v>
      </c>
      <c r="L540" s="32"/>
      <c r="S540">
        <f>ROUND((Source!FX212/100)*((ROUND(Source!AF212*Source!I212, 2)+ROUND(Source!AE212*Source!I212, 2))), 2)</f>
        <v>0</v>
      </c>
      <c r="T540">
        <f>Source!X212</f>
        <v>0</v>
      </c>
      <c r="U540">
        <f>ROUND((Source!FY212/100)*((ROUND(Source!AF212*Source!I212, 2)+ROUND(Source!AE212*Source!I212, 2))), 2)</f>
        <v>0</v>
      </c>
      <c r="V540">
        <f>Source!Y212</f>
        <v>0</v>
      </c>
      <c r="W540">
        <f>IF(Source!BI212&lt;=1,H540, 0)</f>
        <v>0</v>
      </c>
      <c r="X540">
        <f>IF(Source!BI212=2,H540, 0)</f>
        <v>335.6</v>
      </c>
      <c r="Y540">
        <f>IF(Source!BI212=3,H540, 0)</f>
        <v>0</v>
      </c>
      <c r="Z540">
        <f>IF(Source!BI212=4,H540, 0)</f>
        <v>0</v>
      </c>
    </row>
    <row r="541" spans="1:26" ht="28.5" x14ac:dyDescent="0.2">
      <c r="A541" s="47" t="str">
        <f>Source!E213</f>
        <v>50,3</v>
      </c>
      <c r="B541" s="48" t="str">
        <f>Source!F213</f>
        <v>62.1.01.09-0073</v>
      </c>
      <c r="C541" s="48" t="str">
        <f>Source!G213</f>
        <v>Выключатели автоматические «АВВ» серии LR 1Р 20А прим.</v>
      </c>
      <c r="D541" s="35" t="str">
        <f>Source!H213</f>
        <v>шт.</v>
      </c>
      <c r="E541" s="36">
        <f>Source!I213</f>
        <v>20</v>
      </c>
      <c r="F541" s="37">
        <f>Source!AL213+Source!AM213+Source!AO213</f>
        <v>46.25</v>
      </c>
      <c r="G541" s="42" t="s">
        <v>6</v>
      </c>
      <c r="H541" s="37">
        <f>ROUND(Source!AC213*Source!I213, 2)+ROUND(Source!AD213*Source!I213, 2)+ROUND(Source!AF213*Source!I213, 2)</f>
        <v>925</v>
      </c>
      <c r="I541" s="38"/>
      <c r="J541" s="38">
        <f>IF(Source!BC213&lt;&gt; 0, Source!BC213, 1)</f>
        <v>6.71</v>
      </c>
      <c r="K541" s="37">
        <f>Source!O213</f>
        <v>6206.75</v>
      </c>
      <c r="L541" s="43"/>
      <c r="S541">
        <f>ROUND((Source!FX213/100)*((ROUND(Source!AF213*Source!I213, 2)+ROUND(Source!AE213*Source!I213, 2))), 2)</f>
        <v>0</v>
      </c>
      <c r="T541">
        <f>Source!X213</f>
        <v>0</v>
      </c>
      <c r="U541">
        <f>ROUND((Source!FY213/100)*((ROUND(Source!AF213*Source!I213, 2)+ROUND(Source!AE213*Source!I213, 2))), 2)</f>
        <v>0</v>
      </c>
      <c r="V541">
        <f>Source!Y213</f>
        <v>0</v>
      </c>
      <c r="W541">
        <f>IF(Source!BI213&lt;=1,H541, 0)</f>
        <v>0</v>
      </c>
      <c r="X541">
        <f>IF(Source!BI213=2,H541, 0)</f>
        <v>925</v>
      </c>
      <c r="Y541">
        <f>IF(Source!BI213=3,H541, 0)</f>
        <v>0</v>
      </c>
      <c r="Z541">
        <f>IF(Source!BI213=4,H541, 0)</f>
        <v>0</v>
      </c>
    </row>
    <row r="542" spans="1:26" ht="15" x14ac:dyDescent="0.25">
      <c r="G542" s="69">
        <f>H533+H534+H535+H536+H537+SUM(H539:H541)</f>
        <v>4611.7299999999996</v>
      </c>
      <c r="H542" s="69"/>
      <c r="J542" s="69">
        <f>K533+K534+K535+K536+K537+SUM(K539:K541)</f>
        <v>30944.75</v>
      </c>
      <c r="K542" s="69"/>
      <c r="L542" s="40">
        <f>Source!U210</f>
        <v>67.391999999999996</v>
      </c>
      <c r="O542" s="24">
        <f>G542</f>
        <v>4611.7299999999996</v>
      </c>
      <c r="P542" s="24">
        <f>J542</f>
        <v>30944.75</v>
      </c>
      <c r="Q542" s="24">
        <f>L542</f>
        <v>67.391999999999996</v>
      </c>
      <c r="W542">
        <f>IF(Source!BI210&lt;=1,H533+H534+H535+H536+H537, 0)</f>
        <v>0</v>
      </c>
      <c r="X542">
        <f>IF(Source!BI210=2,H533+H534+H535+H536+H537, 0)</f>
        <v>2435.61</v>
      </c>
      <c r="Y542">
        <f>IF(Source!BI210=3,H533+H534+H535+H536+H537, 0)</f>
        <v>0</v>
      </c>
      <c r="Z542">
        <f>IF(Source!BI210=4,H533+H534+H535+H536+H537, 0)</f>
        <v>0</v>
      </c>
    </row>
    <row r="544" spans="1:26" ht="15" x14ac:dyDescent="0.25">
      <c r="A544" s="71" t="str">
        <f>CONCATENATE("Итого по разделу: ",IF(Source!G215&lt;&gt;"Новый раздел", Source!G215, ""))</f>
        <v>Итого по разделу: Электромонтажные работы</v>
      </c>
      <c r="B544" s="71"/>
      <c r="C544" s="71"/>
      <c r="D544" s="71"/>
      <c r="E544" s="71"/>
      <c r="F544" s="71"/>
      <c r="G544" s="70">
        <f>SUM(O392:O543)</f>
        <v>42618.39</v>
      </c>
      <c r="H544" s="70"/>
      <c r="I544" s="26"/>
      <c r="J544" s="70">
        <f>SUM(P392:P543)</f>
        <v>285969.46999999997</v>
      </c>
      <c r="K544" s="70"/>
      <c r="L544" s="40">
        <f>SUM(Q392:Q543)</f>
        <v>365.70127199999996</v>
      </c>
    </row>
    <row r="546" spans="1:26" ht="16.5" x14ac:dyDescent="0.25">
      <c r="A546" s="74" t="str">
        <f>CONCATENATE("Раздел: ",IF(Source!G244&lt;&gt;"Новый раздел", Source!G244, ""))</f>
        <v>Раздел: Пусконаладочные работы</v>
      </c>
      <c r="B546" s="74"/>
      <c r="C546" s="74"/>
      <c r="D546" s="74"/>
      <c r="E546" s="74"/>
      <c r="F546" s="74"/>
      <c r="G546" s="74"/>
      <c r="H546" s="74"/>
      <c r="I546" s="74"/>
      <c r="J546" s="74"/>
      <c r="K546" s="74"/>
      <c r="L546" s="74"/>
    </row>
    <row r="547" spans="1:26" ht="114" x14ac:dyDescent="0.2">
      <c r="A547" s="45" t="str">
        <f>Source!E248</f>
        <v>51</v>
      </c>
      <c r="B547" s="46" t="str">
        <f>Source!F248</f>
        <v>п01-11-028-01</v>
      </c>
      <c r="C547" s="46" t="str">
        <f>Source!G248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547" s="29" t="str">
        <f>Source!H248</f>
        <v>ШТ</v>
      </c>
      <c r="E547" s="11">
        <f>Source!I248</f>
        <v>42</v>
      </c>
      <c r="F547" s="30">
        <f>Source!AL248+Source!AM248+Source!AO248</f>
        <v>4.0999999999999996</v>
      </c>
      <c r="G547" s="31"/>
      <c r="H547" s="30"/>
      <c r="I547" s="31" t="str">
        <f>Source!BO248</f>
        <v/>
      </c>
      <c r="J547" s="31"/>
      <c r="K547" s="30"/>
      <c r="L547" s="32"/>
      <c r="S547">
        <f>ROUND((Source!FX248/100)*((ROUND(Source!AF248*Source!I248, 2)+ROUND(Source!AE248*Source!I248, 2))), 2)</f>
        <v>89.54</v>
      </c>
      <c r="T547">
        <f>Source!X248</f>
        <v>1736.26</v>
      </c>
      <c r="U547">
        <f>ROUND((Source!FY248/100)*((ROUND(Source!AF248*Source!I248, 2)+ROUND(Source!AE248*Source!I248, 2))), 2)</f>
        <v>55.1</v>
      </c>
      <c r="V547">
        <f>Source!Y248</f>
        <v>1068.47</v>
      </c>
    </row>
    <row r="548" spans="1:26" ht="14.25" x14ac:dyDescent="0.2">
      <c r="A548" s="45"/>
      <c r="B548" s="46"/>
      <c r="C548" s="46" t="s">
        <v>1083</v>
      </c>
      <c r="D548" s="29"/>
      <c r="E548" s="11"/>
      <c r="F548" s="30">
        <f>Source!AO248</f>
        <v>4.0999999999999996</v>
      </c>
      <c r="G548" s="31" t="str">
        <f>Source!DG248</f>
        <v>)*0,8</v>
      </c>
      <c r="H548" s="30">
        <f>ROUND(Source!AF248*Source!I248, 2)</f>
        <v>137.76</v>
      </c>
      <c r="I548" s="31"/>
      <c r="J548" s="31">
        <f>IF(Source!BA248&lt;&gt; 0, Source!BA248, 1)</f>
        <v>19.39</v>
      </c>
      <c r="K548" s="30">
        <f>Source!S248</f>
        <v>2671.17</v>
      </c>
      <c r="L548" s="32"/>
      <c r="R548">
        <f>H548</f>
        <v>137.76</v>
      </c>
    </row>
    <row r="549" spans="1:26" ht="14.25" x14ac:dyDescent="0.2">
      <c r="A549" s="45"/>
      <c r="B549" s="46"/>
      <c r="C549" s="46" t="s">
        <v>1085</v>
      </c>
      <c r="D549" s="29" t="s">
        <v>1086</v>
      </c>
      <c r="E549" s="11">
        <f>Source!BZ248</f>
        <v>65</v>
      </c>
      <c r="F549" s="49"/>
      <c r="G549" s="31"/>
      <c r="H549" s="30">
        <f>SUM(S547:S551)</f>
        <v>89.54</v>
      </c>
      <c r="I549" s="34"/>
      <c r="J549" s="27">
        <f>Source!AT248</f>
        <v>65</v>
      </c>
      <c r="K549" s="30">
        <f>SUM(T547:T551)</f>
        <v>1736.26</v>
      </c>
      <c r="L549" s="32"/>
    </row>
    <row r="550" spans="1:26" ht="14.25" x14ac:dyDescent="0.2">
      <c r="A550" s="45"/>
      <c r="B550" s="46"/>
      <c r="C550" s="46" t="s">
        <v>1087</v>
      </c>
      <c r="D550" s="29" t="s">
        <v>1086</v>
      </c>
      <c r="E550" s="11">
        <f>Source!CA248</f>
        <v>40</v>
      </c>
      <c r="F550" s="49"/>
      <c r="G550" s="31"/>
      <c r="H550" s="30">
        <f>SUM(U547:U551)</f>
        <v>55.1</v>
      </c>
      <c r="I550" s="34"/>
      <c r="J550" s="27">
        <f>Source!AU248</f>
        <v>40</v>
      </c>
      <c r="K550" s="30">
        <f>SUM(V547:V551)</f>
        <v>1068.47</v>
      </c>
      <c r="L550" s="32"/>
    </row>
    <row r="551" spans="1:26" ht="14.25" x14ac:dyDescent="0.2">
      <c r="A551" s="47"/>
      <c r="B551" s="48"/>
      <c r="C551" s="48" t="s">
        <v>1088</v>
      </c>
      <c r="D551" s="35" t="s">
        <v>1089</v>
      </c>
      <c r="E551" s="36">
        <f>Source!AQ248</f>
        <v>0.32</v>
      </c>
      <c r="F551" s="37"/>
      <c r="G551" s="38" t="str">
        <f>Source!DI248</f>
        <v>)*0,8</v>
      </c>
      <c r="H551" s="37"/>
      <c r="I551" s="38"/>
      <c r="J551" s="38"/>
      <c r="K551" s="37"/>
      <c r="L551" s="39">
        <f>Source!U248</f>
        <v>10.752000000000001</v>
      </c>
    </row>
    <row r="552" spans="1:26" ht="15" x14ac:dyDescent="0.25">
      <c r="G552" s="69">
        <f>H548+H549+H550</f>
        <v>282.40000000000003</v>
      </c>
      <c r="H552" s="69"/>
      <c r="J552" s="69">
        <f>K548+K549+K550</f>
        <v>5475.9000000000005</v>
      </c>
      <c r="K552" s="69"/>
      <c r="L552" s="40">
        <f>Source!U248</f>
        <v>10.752000000000001</v>
      </c>
      <c r="O552" s="24">
        <f>G552</f>
        <v>282.40000000000003</v>
      </c>
      <c r="P552" s="24">
        <f>J552</f>
        <v>5475.9000000000005</v>
      </c>
      <c r="Q552" s="24">
        <f>L552</f>
        <v>10.752000000000001</v>
      </c>
      <c r="W552">
        <f>IF(Source!BI248&lt;=1,H548+H549+H550, 0)</f>
        <v>0</v>
      </c>
      <c r="X552">
        <f>IF(Source!BI248=2,H548+H549+H550, 0)</f>
        <v>0</v>
      </c>
      <c r="Y552">
        <f>IF(Source!BI248=3,H548+H549+H550, 0)</f>
        <v>0</v>
      </c>
      <c r="Z552">
        <f>IF(Source!BI248=4,H548+H549+H550, 0)</f>
        <v>282.40000000000003</v>
      </c>
    </row>
    <row r="553" spans="1:26" ht="28.5" x14ac:dyDescent="0.2">
      <c r="A553" s="45" t="str">
        <f>Source!E249</f>
        <v>52</v>
      </c>
      <c r="B553" s="46" t="str">
        <f>Source!F249</f>
        <v>п01-12-021-01</v>
      </c>
      <c r="C553" s="46" t="str">
        <f>Source!G249</f>
        <v>Испытание аппарата коммутационного напряжением до 1 кВ (силовых цепей)</v>
      </c>
      <c r="D553" s="29" t="str">
        <f>Source!H249</f>
        <v>испытание</v>
      </c>
      <c r="E553" s="11">
        <f>Source!I249</f>
        <v>8</v>
      </c>
      <c r="F553" s="30">
        <f>Source!AL249+Source!AM249+Source!AO249</f>
        <v>19.63</v>
      </c>
      <c r="G553" s="31"/>
      <c r="H553" s="30"/>
      <c r="I553" s="31" t="str">
        <f>Source!BO249</f>
        <v/>
      </c>
      <c r="J553" s="31"/>
      <c r="K553" s="30"/>
      <c r="L553" s="32"/>
      <c r="S553">
        <f>ROUND((Source!FX249/100)*((ROUND(Source!AF249*Source!I249, 2)+ROUND(Source!AE249*Source!I249, 2))), 2)</f>
        <v>81.64</v>
      </c>
      <c r="T553">
        <f>Source!X249</f>
        <v>1583</v>
      </c>
      <c r="U553">
        <f>ROUND((Source!FY249/100)*((ROUND(Source!AF249*Source!I249, 2)+ROUND(Source!AE249*Source!I249, 2))), 2)</f>
        <v>50.24</v>
      </c>
      <c r="V553">
        <f>Source!Y249</f>
        <v>974.15</v>
      </c>
    </row>
    <row r="554" spans="1:26" ht="14.25" x14ac:dyDescent="0.2">
      <c r="A554" s="45"/>
      <c r="B554" s="46"/>
      <c r="C554" s="46" t="s">
        <v>1083</v>
      </c>
      <c r="D554" s="29"/>
      <c r="E554" s="11"/>
      <c r="F554" s="30">
        <f>Source!AO249</f>
        <v>19.63</v>
      </c>
      <c r="G554" s="31" t="str">
        <f>Source!DG249</f>
        <v>)*0,8</v>
      </c>
      <c r="H554" s="30">
        <f>ROUND(Source!AF249*Source!I249, 2)</f>
        <v>125.6</v>
      </c>
      <c r="I554" s="31"/>
      <c r="J554" s="31">
        <f>IF(Source!BA249&lt;&gt; 0, Source!BA249, 1)</f>
        <v>19.39</v>
      </c>
      <c r="K554" s="30">
        <f>Source!S249</f>
        <v>2435.38</v>
      </c>
      <c r="L554" s="32"/>
      <c r="R554">
        <f>H554</f>
        <v>125.6</v>
      </c>
    </row>
    <row r="555" spans="1:26" ht="14.25" x14ac:dyDescent="0.2">
      <c r="A555" s="45"/>
      <c r="B555" s="46"/>
      <c r="C555" s="46" t="s">
        <v>1085</v>
      </c>
      <c r="D555" s="29" t="s">
        <v>1086</v>
      </c>
      <c r="E555" s="11">
        <f>Source!BZ249</f>
        <v>65</v>
      </c>
      <c r="F555" s="49"/>
      <c r="G555" s="31"/>
      <c r="H555" s="30">
        <f>SUM(S553:S557)</f>
        <v>81.64</v>
      </c>
      <c r="I555" s="34"/>
      <c r="J555" s="27">
        <f>Source!AT249</f>
        <v>65</v>
      </c>
      <c r="K555" s="30">
        <f>SUM(T553:T557)</f>
        <v>1583</v>
      </c>
      <c r="L555" s="32"/>
    </row>
    <row r="556" spans="1:26" ht="14.25" x14ac:dyDescent="0.2">
      <c r="A556" s="45"/>
      <c r="B556" s="46"/>
      <c r="C556" s="46" t="s">
        <v>1087</v>
      </c>
      <c r="D556" s="29" t="s">
        <v>1086</v>
      </c>
      <c r="E556" s="11">
        <f>Source!CA249</f>
        <v>40</v>
      </c>
      <c r="F556" s="49"/>
      <c r="G556" s="31"/>
      <c r="H556" s="30">
        <f>SUM(U553:U557)</f>
        <v>50.24</v>
      </c>
      <c r="I556" s="34"/>
      <c r="J556" s="27">
        <f>Source!AU249</f>
        <v>40</v>
      </c>
      <c r="K556" s="30">
        <f>SUM(V553:V557)</f>
        <v>974.15</v>
      </c>
      <c r="L556" s="32"/>
    </row>
    <row r="557" spans="1:26" ht="14.25" x14ac:dyDescent="0.2">
      <c r="A557" s="47"/>
      <c r="B557" s="48"/>
      <c r="C557" s="48" t="s">
        <v>1088</v>
      </c>
      <c r="D557" s="35" t="s">
        <v>1089</v>
      </c>
      <c r="E557" s="36">
        <f>Source!AQ249</f>
        <v>1.62</v>
      </c>
      <c r="F557" s="37"/>
      <c r="G557" s="38" t="str">
        <f>Source!DI249</f>
        <v>)*0,8</v>
      </c>
      <c r="H557" s="37"/>
      <c r="I557" s="38"/>
      <c r="J557" s="38"/>
      <c r="K557" s="37"/>
      <c r="L557" s="39">
        <f>Source!U249</f>
        <v>10.368000000000002</v>
      </c>
    </row>
    <row r="558" spans="1:26" ht="15" x14ac:dyDescent="0.25">
      <c r="G558" s="69">
        <f>H554+H555+H556</f>
        <v>257.48</v>
      </c>
      <c r="H558" s="69"/>
      <c r="J558" s="69">
        <f>K554+K555+K556</f>
        <v>4992.53</v>
      </c>
      <c r="K558" s="69"/>
      <c r="L558" s="40">
        <f>Source!U249</f>
        <v>10.368000000000002</v>
      </c>
      <c r="O558" s="24">
        <f>G558</f>
        <v>257.48</v>
      </c>
      <c r="P558" s="24">
        <f>J558</f>
        <v>4992.53</v>
      </c>
      <c r="Q558" s="24">
        <f>L558</f>
        <v>10.368000000000002</v>
      </c>
      <c r="W558">
        <f>IF(Source!BI249&lt;=1,H554+H555+H556, 0)</f>
        <v>0</v>
      </c>
      <c r="X558">
        <f>IF(Source!BI249=2,H554+H555+H556, 0)</f>
        <v>0</v>
      </c>
      <c r="Y558">
        <f>IF(Source!BI249=3,H554+H555+H556, 0)</f>
        <v>0</v>
      </c>
      <c r="Z558">
        <f>IF(Source!BI249=4,H554+H555+H556, 0)</f>
        <v>257.48</v>
      </c>
    </row>
    <row r="559" spans="1:26" ht="28.5" x14ac:dyDescent="0.2">
      <c r="A559" s="45" t="str">
        <f>Source!E250</f>
        <v>53</v>
      </c>
      <c r="B559" s="46" t="str">
        <f>Source!F250</f>
        <v>п01-11-013-01</v>
      </c>
      <c r="C559" s="46" t="str">
        <f>Source!G250</f>
        <v>Замер полного сопротивления цепи "фаза-нуль"</v>
      </c>
      <c r="D559" s="29" t="str">
        <f>Source!H250</f>
        <v>ШТ</v>
      </c>
      <c r="E559" s="11">
        <f>Source!I250</f>
        <v>72</v>
      </c>
      <c r="F559" s="30">
        <f>Source!AL250+Source!AM250+Source!AO250</f>
        <v>15.62</v>
      </c>
      <c r="G559" s="31"/>
      <c r="H559" s="30"/>
      <c r="I559" s="31" t="str">
        <f>Source!BO250</f>
        <v/>
      </c>
      <c r="J559" s="31"/>
      <c r="K559" s="30"/>
      <c r="L559" s="32"/>
      <c r="S559">
        <f>ROUND((Source!FX250/100)*((ROUND(Source!AF250*Source!I250, 2)+ROUND(Source!AE250*Source!I250, 2))), 2)</f>
        <v>585</v>
      </c>
      <c r="T559">
        <f>Source!X250</f>
        <v>11343.15</v>
      </c>
      <c r="U559">
        <f>ROUND((Source!FY250/100)*((ROUND(Source!AF250*Source!I250, 2)+ROUND(Source!AE250*Source!I250, 2))), 2)</f>
        <v>360</v>
      </c>
      <c r="V559">
        <f>Source!Y250</f>
        <v>6980.4</v>
      </c>
    </row>
    <row r="560" spans="1:26" ht="14.25" x14ac:dyDescent="0.2">
      <c r="A560" s="45"/>
      <c r="B560" s="46"/>
      <c r="C560" s="46" t="s">
        <v>1083</v>
      </c>
      <c r="D560" s="29"/>
      <c r="E560" s="11"/>
      <c r="F560" s="30">
        <f>Source!AO250</f>
        <v>15.62</v>
      </c>
      <c r="G560" s="31" t="str">
        <f>Source!DG250</f>
        <v>)*0,8</v>
      </c>
      <c r="H560" s="30">
        <f>ROUND(Source!AF250*Source!I250, 2)</f>
        <v>900</v>
      </c>
      <c r="I560" s="31"/>
      <c r="J560" s="31">
        <f>IF(Source!BA250&lt;&gt; 0, Source!BA250, 1)</f>
        <v>19.39</v>
      </c>
      <c r="K560" s="30">
        <f>Source!S250</f>
        <v>17451</v>
      </c>
      <c r="L560" s="32"/>
      <c r="R560">
        <f>H560</f>
        <v>900</v>
      </c>
    </row>
    <row r="561" spans="1:26" ht="14.25" x14ac:dyDescent="0.2">
      <c r="A561" s="45"/>
      <c r="B561" s="46"/>
      <c r="C561" s="46" t="s">
        <v>1085</v>
      </c>
      <c r="D561" s="29" t="s">
        <v>1086</v>
      </c>
      <c r="E561" s="11">
        <f>Source!BZ250</f>
        <v>65</v>
      </c>
      <c r="F561" s="49"/>
      <c r="G561" s="31"/>
      <c r="H561" s="30">
        <f>SUM(S559:S563)</f>
        <v>585</v>
      </c>
      <c r="I561" s="34"/>
      <c r="J561" s="27">
        <f>Source!AT250</f>
        <v>65</v>
      </c>
      <c r="K561" s="30">
        <f>SUM(T559:T563)</f>
        <v>11343.15</v>
      </c>
      <c r="L561" s="32"/>
    </row>
    <row r="562" spans="1:26" ht="14.25" x14ac:dyDescent="0.2">
      <c r="A562" s="45"/>
      <c r="B562" s="46"/>
      <c r="C562" s="46" t="s">
        <v>1087</v>
      </c>
      <c r="D562" s="29" t="s">
        <v>1086</v>
      </c>
      <c r="E562" s="11">
        <f>Source!CA250</f>
        <v>40</v>
      </c>
      <c r="F562" s="49"/>
      <c r="G562" s="31"/>
      <c r="H562" s="30">
        <f>SUM(U559:U563)</f>
        <v>360</v>
      </c>
      <c r="I562" s="34"/>
      <c r="J562" s="27">
        <f>Source!AU250</f>
        <v>40</v>
      </c>
      <c r="K562" s="30">
        <f>SUM(V559:V563)</f>
        <v>6980.4</v>
      </c>
      <c r="L562" s="32"/>
    </row>
    <row r="563" spans="1:26" ht="14.25" x14ac:dyDescent="0.2">
      <c r="A563" s="47"/>
      <c r="B563" s="48"/>
      <c r="C563" s="48" t="s">
        <v>1088</v>
      </c>
      <c r="D563" s="35" t="s">
        <v>1089</v>
      </c>
      <c r="E563" s="36">
        <f>Source!AQ250</f>
        <v>1.22</v>
      </c>
      <c r="F563" s="37"/>
      <c r="G563" s="38" t="str">
        <f>Source!DI250</f>
        <v>)*0,8</v>
      </c>
      <c r="H563" s="37"/>
      <c r="I563" s="38"/>
      <c r="J563" s="38"/>
      <c r="K563" s="37"/>
      <c r="L563" s="39">
        <f>Source!U250</f>
        <v>70.271999999999991</v>
      </c>
    </row>
    <row r="564" spans="1:26" ht="15" x14ac:dyDescent="0.25">
      <c r="G564" s="69">
        <f>H560+H561+H562</f>
        <v>1845</v>
      </c>
      <c r="H564" s="69"/>
      <c r="J564" s="69">
        <f>K560+K561+K562</f>
        <v>35774.550000000003</v>
      </c>
      <c r="K564" s="69"/>
      <c r="L564" s="40">
        <f>Source!U250</f>
        <v>70.271999999999991</v>
      </c>
      <c r="O564" s="24">
        <f>G564</f>
        <v>1845</v>
      </c>
      <c r="P564" s="24">
        <f>J564</f>
        <v>35774.550000000003</v>
      </c>
      <c r="Q564" s="24">
        <f>L564</f>
        <v>70.271999999999991</v>
      </c>
      <c r="W564">
        <f>IF(Source!BI250&lt;=1,H560+H561+H562, 0)</f>
        <v>0</v>
      </c>
      <c r="X564">
        <f>IF(Source!BI250=2,H560+H561+H562, 0)</f>
        <v>0</v>
      </c>
      <c r="Y564">
        <f>IF(Source!BI250=3,H560+H561+H562, 0)</f>
        <v>0</v>
      </c>
      <c r="Z564">
        <f>IF(Source!BI250=4,H560+H561+H562, 0)</f>
        <v>1845</v>
      </c>
    </row>
    <row r="566" spans="1:26" ht="15" x14ac:dyDescent="0.25">
      <c r="A566" s="71" t="str">
        <f>CONCATENATE("Итого по разделу: ",IF(Source!G252&lt;&gt;"Новый раздел", Source!G252, ""))</f>
        <v>Итого по разделу: Пусконаладочные работы</v>
      </c>
      <c r="B566" s="71"/>
      <c r="C566" s="71"/>
      <c r="D566" s="71"/>
      <c r="E566" s="71"/>
      <c r="F566" s="71"/>
      <c r="G566" s="70">
        <f>SUM(O546:O565)</f>
        <v>2384.88</v>
      </c>
      <c r="H566" s="70"/>
      <c r="I566" s="26"/>
      <c r="J566" s="70">
        <f>SUM(P546:P565)</f>
        <v>46242.98</v>
      </c>
      <c r="K566" s="70"/>
      <c r="L566" s="40">
        <f>SUM(Q546:Q565)</f>
        <v>91.391999999999996</v>
      </c>
    </row>
    <row r="568" spans="1:26" ht="16.5" x14ac:dyDescent="0.25">
      <c r="A568" s="74" t="str">
        <f>CONCATENATE("Раздел: ",IF(Source!G281&lt;&gt;"Новый раздел", Source!G281, ""))</f>
        <v>Раздел: Сантехнические работы</v>
      </c>
      <c r="B568" s="74"/>
      <c r="C568" s="74"/>
      <c r="D568" s="74"/>
      <c r="E568" s="74"/>
      <c r="F568" s="74"/>
      <c r="G568" s="74"/>
      <c r="H568" s="74"/>
      <c r="I568" s="74"/>
      <c r="J568" s="74"/>
      <c r="K568" s="74"/>
      <c r="L568" s="74"/>
    </row>
    <row r="569" spans="1:26" ht="28.5" x14ac:dyDescent="0.2">
      <c r="A569" s="45" t="str">
        <f>Source!E285</f>
        <v>54</v>
      </c>
      <c r="B569" s="46" t="str">
        <f>Source!F285</f>
        <v>17-01-005-04</v>
      </c>
      <c r="C569" s="46" t="str">
        <f>Source!G285</f>
        <v>Установка раковин</v>
      </c>
      <c r="D569" s="29" t="str">
        <f>Source!H285</f>
        <v>10 компл</v>
      </c>
      <c r="E569" s="11">
        <f>Source!I285</f>
        <v>0.3</v>
      </c>
      <c r="F569" s="30">
        <f>Source!AL285+Source!AM285+Source!AO285</f>
        <v>153.76999999999998</v>
      </c>
      <c r="G569" s="31"/>
      <c r="H569" s="30"/>
      <c r="I569" s="31" t="str">
        <f>Source!BO285</f>
        <v/>
      </c>
      <c r="J569" s="31"/>
      <c r="K569" s="30"/>
      <c r="L569" s="32"/>
      <c r="S569">
        <f>ROUND((Source!FX285/100)*((ROUND(Source!AF285*Source!I285, 2)+ROUND(Source!AE285*Source!I285, 2))), 2)</f>
        <v>36.92</v>
      </c>
      <c r="T569">
        <f>Source!X285</f>
        <v>247.38</v>
      </c>
      <c r="U569">
        <f>ROUND((Source!FY285/100)*((ROUND(Source!AF285*Source!I285, 2)+ROUND(Source!AE285*Source!I285, 2))), 2)</f>
        <v>22.61</v>
      </c>
      <c r="V569">
        <f>Source!Y285</f>
        <v>152.72999999999999</v>
      </c>
    </row>
    <row r="570" spans="1:26" x14ac:dyDescent="0.2">
      <c r="C570" s="23" t="str">
        <f>"Объем: "&amp;Source!I285&amp;"=3/"&amp;"10"</f>
        <v>Объем: 0,3=3/10</v>
      </c>
    </row>
    <row r="571" spans="1:26" ht="14.25" x14ac:dyDescent="0.2">
      <c r="A571" s="45"/>
      <c r="B571" s="46"/>
      <c r="C571" s="46" t="s">
        <v>1083</v>
      </c>
      <c r="D571" s="29"/>
      <c r="E571" s="11"/>
      <c r="F571" s="30">
        <f>Source!AO285</f>
        <v>86.48</v>
      </c>
      <c r="G571" s="31" t="str">
        <f>Source!DG285</f>
        <v>)*1,2</v>
      </c>
      <c r="H571" s="30">
        <f>ROUND(Source!AF285*Source!I285, 2)</f>
        <v>31.13</v>
      </c>
      <c r="I571" s="31"/>
      <c r="J571" s="31">
        <f>IF(Source!BA285&lt;&gt; 0, Source!BA285, 1)</f>
        <v>6.71</v>
      </c>
      <c r="K571" s="30">
        <f>Source!S285</f>
        <v>208.91</v>
      </c>
      <c r="L571" s="32"/>
      <c r="R571">
        <f>H571</f>
        <v>31.13</v>
      </c>
    </row>
    <row r="572" spans="1:26" ht="14.25" x14ac:dyDescent="0.2">
      <c r="A572" s="45"/>
      <c r="B572" s="46"/>
      <c r="C572" s="46" t="s">
        <v>139</v>
      </c>
      <c r="D572" s="29"/>
      <c r="E572" s="11"/>
      <c r="F572" s="30">
        <f>Source!AM285</f>
        <v>11.39</v>
      </c>
      <c r="G572" s="31" t="str">
        <f>Source!DE285</f>
        <v>)*1,2</v>
      </c>
      <c r="H572" s="30">
        <f>ROUND(Source!AD285*Source!I285, 2)</f>
        <v>4.0999999999999996</v>
      </c>
      <c r="I572" s="31"/>
      <c r="J572" s="31">
        <f>IF(Source!BB285&lt;&gt; 0, Source!BB285, 1)</f>
        <v>6.71</v>
      </c>
      <c r="K572" s="30">
        <f>Source!Q285</f>
        <v>27.5</v>
      </c>
      <c r="L572" s="32"/>
    </row>
    <row r="573" spans="1:26" ht="14.25" x14ac:dyDescent="0.2">
      <c r="A573" s="45"/>
      <c r="B573" s="46"/>
      <c r="C573" s="46" t="s">
        <v>1084</v>
      </c>
      <c r="D573" s="29"/>
      <c r="E573" s="11"/>
      <c r="F573" s="30">
        <f>Source!AN285</f>
        <v>2.57</v>
      </c>
      <c r="G573" s="31" t="str">
        <f>Source!DF285</f>
        <v>)*1,2</v>
      </c>
      <c r="H573" s="33">
        <f>ROUND(Source!AE285*Source!I285, 2)</f>
        <v>0.92</v>
      </c>
      <c r="I573" s="31"/>
      <c r="J573" s="31">
        <f>IF(Source!BS285&lt;&gt; 0, Source!BS285, 1)</f>
        <v>6.71</v>
      </c>
      <c r="K573" s="33">
        <f>Source!R285</f>
        <v>6.2</v>
      </c>
      <c r="L573" s="32"/>
      <c r="R573">
        <f>H573</f>
        <v>0.92</v>
      </c>
    </row>
    <row r="574" spans="1:26" ht="14.25" x14ac:dyDescent="0.2">
      <c r="A574" s="45"/>
      <c r="B574" s="46"/>
      <c r="C574" s="46" t="s">
        <v>1090</v>
      </c>
      <c r="D574" s="29"/>
      <c r="E574" s="11"/>
      <c r="F574" s="30">
        <f>Source!AL285</f>
        <v>55.9</v>
      </c>
      <c r="G574" s="31" t="str">
        <f>Source!DD285</f>
        <v/>
      </c>
      <c r="H574" s="30">
        <f>ROUND(Source!AC285*Source!I285, 2)</f>
        <v>16.77</v>
      </c>
      <c r="I574" s="31"/>
      <c r="J574" s="31">
        <f>IF(Source!BC285&lt;&gt; 0, Source!BC285, 1)</f>
        <v>6.71</v>
      </c>
      <c r="K574" s="30">
        <f>Source!P285</f>
        <v>112.53</v>
      </c>
      <c r="L574" s="32"/>
    </row>
    <row r="575" spans="1:26" ht="14.25" x14ac:dyDescent="0.2">
      <c r="A575" s="45"/>
      <c r="B575" s="46"/>
      <c r="C575" s="46" t="s">
        <v>1085</v>
      </c>
      <c r="D575" s="29" t="s">
        <v>1086</v>
      </c>
      <c r="E575" s="11">
        <f>Source!BZ285</f>
        <v>128</v>
      </c>
      <c r="F575" s="72" t="str">
        <f>CONCATENATE(" )", Source!DL285, Source!FT285, "=", Source!FX285)</f>
        <v xml:space="preserve"> )*0,9=115,2</v>
      </c>
      <c r="G575" s="73"/>
      <c r="H575" s="30">
        <f>SUM(S569:S579)</f>
        <v>36.92</v>
      </c>
      <c r="I575" s="34"/>
      <c r="J575" s="27">
        <f>Source!AT285</f>
        <v>115</v>
      </c>
      <c r="K575" s="30">
        <f>SUM(T569:T579)</f>
        <v>247.38</v>
      </c>
      <c r="L575" s="32"/>
    </row>
    <row r="576" spans="1:26" ht="14.25" x14ac:dyDescent="0.2">
      <c r="A576" s="45"/>
      <c r="B576" s="46"/>
      <c r="C576" s="46" t="s">
        <v>1087</v>
      </c>
      <c r="D576" s="29" t="s">
        <v>1086</v>
      </c>
      <c r="E576" s="11">
        <f>Source!CA285</f>
        <v>83</v>
      </c>
      <c r="F576" s="72" t="str">
        <f>CONCATENATE(" )", Source!DM285, Source!FU285, "=", Source!FY285)</f>
        <v xml:space="preserve"> )*0,85=70,55</v>
      </c>
      <c r="G576" s="73"/>
      <c r="H576" s="30">
        <f>SUM(U569:U579)</f>
        <v>22.61</v>
      </c>
      <c r="I576" s="34"/>
      <c r="J576" s="27">
        <f>Source!AU285</f>
        <v>71</v>
      </c>
      <c r="K576" s="30">
        <f>SUM(V569:V579)</f>
        <v>152.72999999999999</v>
      </c>
      <c r="L576" s="32"/>
    </row>
    <row r="577" spans="1:26" ht="14.25" x14ac:dyDescent="0.2">
      <c r="A577" s="45"/>
      <c r="B577" s="46"/>
      <c r="C577" s="46" t="s">
        <v>1088</v>
      </c>
      <c r="D577" s="29" t="s">
        <v>1089</v>
      </c>
      <c r="E577" s="11">
        <f>Source!AQ285</f>
        <v>8.99</v>
      </c>
      <c r="F577" s="30"/>
      <c r="G577" s="31" t="str">
        <f>Source!DI285</f>
        <v>)*1,2</v>
      </c>
      <c r="H577" s="30"/>
      <c r="I577" s="31"/>
      <c r="J577" s="31"/>
      <c r="K577" s="30"/>
      <c r="L577" s="41">
        <f>Source!U285</f>
        <v>3.2364000000000002</v>
      </c>
    </row>
    <row r="578" spans="1:26" ht="99.75" x14ac:dyDescent="0.2">
      <c r="A578" s="45" t="str">
        <f>Source!E286</f>
        <v>54,1</v>
      </c>
      <c r="B578" s="46" t="str">
        <f>Source!F286</f>
        <v>18.2.01.05-0088</v>
      </c>
      <c r="C578" s="46" t="str">
        <f>Source!G286</f>
        <v>Умывальники полуфарфоровые и фарфоровые с кронштейнами, сифоном бутылочным латунным и выпуском, трапециевидные со встроенными установочными поверхностями без спинки размером 700х600х150 мм</v>
      </c>
      <c r="D578" s="29" t="str">
        <f>Source!H286</f>
        <v>компл.</v>
      </c>
      <c r="E578" s="11">
        <f>Source!I286</f>
        <v>3</v>
      </c>
      <c r="F578" s="30">
        <f>Source!AL286+Source!AM286+Source!AO286</f>
        <v>324.39</v>
      </c>
      <c r="G578" s="44" t="s">
        <v>6</v>
      </c>
      <c r="H578" s="30">
        <f>ROUND(Source!AC286*Source!I286, 2)+ROUND(Source!AD286*Source!I286, 2)+ROUND(Source!AF286*Source!I286, 2)</f>
        <v>973.17</v>
      </c>
      <c r="I578" s="31"/>
      <c r="J578" s="31">
        <f>IF(Source!BC286&lt;&gt; 0, Source!BC286, 1)</f>
        <v>6.71</v>
      </c>
      <c r="K578" s="30">
        <f>Source!O286</f>
        <v>6529.97</v>
      </c>
      <c r="L578" s="32"/>
      <c r="S578">
        <f>ROUND((Source!FX286/100)*((ROUND(Source!AF286*Source!I286, 2)+ROUND(Source!AE286*Source!I286, 2))), 2)</f>
        <v>0</v>
      </c>
      <c r="T578">
        <f>Source!X286</f>
        <v>0</v>
      </c>
      <c r="U578">
        <f>ROUND((Source!FY286/100)*((ROUND(Source!AF286*Source!I286, 2)+ROUND(Source!AE286*Source!I286, 2))), 2)</f>
        <v>0</v>
      </c>
      <c r="V578">
        <f>Source!Y286</f>
        <v>0</v>
      </c>
      <c r="W578">
        <f>IF(Source!BI286&lt;=1,H578, 0)</f>
        <v>973.17</v>
      </c>
      <c r="X578">
        <f>IF(Source!BI286=2,H578, 0)</f>
        <v>0</v>
      </c>
      <c r="Y578">
        <f>IF(Source!BI286=3,H578, 0)</f>
        <v>0</v>
      </c>
      <c r="Z578">
        <f>IF(Source!BI286=4,H578, 0)</f>
        <v>0</v>
      </c>
    </row>
    <row r="579" spans="1:26" ht="14.25" x14ac:dyDescent="0.2">
      <c r="A579" s="47" t="str">
        <f>Source!E287</f>
        <v>54,2</v>
      </c>
      <c r="B579" s="48" t="str">
        <f>Source!F287</f>
        <v>18.2.06.12</v>
      </c>
      <c r="C579" s="48" t="str">
        <f>Source!G287</f>
        <v>Приборы санитарно-технические</v>
      </c>
      <c r="D579" s="35" t="str">
        <f>Source!H287</f>
        <v>компл.</v>
      </c>
      <c r="E579" s="36">
        <f>Source!I287</f>
        <v>3</v>
      </c>
      <c r="F579" s="37">
        <f>Source!AL287+Source!AM287+Source!AO287</f>
        <v>0</v>
      </c>
      <c r="G579" s="42" t="s">
        <v>6</v>
      </c>
      <c r="H579" s="37">
        <f>ROUND(Source!AC287*Source!I287, 2)+ROUND(Source!AD287*Source!I287, 2)+ROUND(Source!AF287*Source!I287, 2)</f>
        <v>0</v>
      </c>
      <c r="I579" s="38"/>
      <c r="J579" s="38">
        <f>IF(Source!BC287&lt;&gt; 0, Source!BC287, 1)</f>
        <v>6.71</v>
      </c>
      <c r="K579" s="37">
        <f>Source!O287</f>
        <v>0</v>
      </c>
      <c r="L579" s="43"/>
      <c r="S579">
        <f>ROUND((Source!FX287/100)*((ROUND(Source!AF287*Source!I287, 2)+ROUND(Source!AE287*Source!I287, 2))), 2)</f>
        <v>0</v>
      </c>
      <c r="T579">
        <f>Source!X287</f>
        <v>0</v>
      </c>
      <c r="U579">
        <f>ROUND((Source!FY287/100)*((ROUND(Source!AF287*Source!I287, 2)+ROUND(Source!AE287*Source!I287, 2))), 2)</f>
        <v>0</v>
      </c>
      <c r="V579">
        <f>Source!Y287</f>
        <v>0</v>
      </c>
      <c r="W579">
        <f>IF(Source!BI287&lt;=1,H579, 0)</f>
        <v>0</v>
      </c>
      <c r="X579">
        <f>IF(Source!BI287=2,H579, 0)</f>
        <v>0</v>
      </c>
      <c r="Y579">
        <f>IF(Source!BI287=3,H579, 0)</f>
        <v>0</v>
      </c>
      <c r="Z579">
        <f>IF(Source!BI287=4,H579, 0)</f>
        <v>0</v>
      </c>
    </row>
    <row r="580" spans="1:26" ht="15" x14ac:dyDescent="0.25">
      <c r="G580" s="69">
        <f>H571+H572+H574+H575+H576+SUM(H578:H579)</f>
        <v>1084.7</v>
      </c>
      <c r="H580" s="69"/>
      <c r="J580" s="69">
        <f>K571+K572+K574+K575+K576+SUM(K578:K579)</f>
        <v>7279.02</v>
      </c>
      <c r="K580" s="69"/>
      <c r="L580" s="40">
        <f>Source!U285</f>
        <v>3.2364000000000002</v>
      </c>
      <c r="O580" s="24">
        <f>G580</f>
        <v>1084.7</v>
      </c>
      <c r="P580" s="24">
        <f>J580</f>
        <v>7279.02</v>
      </c>
      <c r="Q580" s="24">
        <f>L580</f>
        <v>3.2364000000000002</v>
      </c>
      <c r="W580">
        <f>IF(Source!BI285&lt;=1,H571+H572+H574+H575+H576, 0)</f>
        <v>111.53</v>
      </c>
      <c r="X580">
        <f>IF(Source!BI285=2,H571+H572+H574+H575+H576, 0)</f>
        <v>0</v>
      </c>
      <c r="Y580">
        <f>IF(Source!BI285=3,H571+H572+H574+H575+H576, 0)</f>
        <v>0</v>
      </c>
      <c r="Z580">
        <f>IF(Source!BI285=4,H571+H572+H574+H575+H576, 0)</f>
        <v>0</v>
      </c>
    </row>
    <row r="581" spans="1:26" ht="28.5" x14ac:dyDescent="0.2">
      <c r="A581" s="45" t="str">
        <f>Source!E288</f>
        <v>55</v>
      </c>
      <c r="B581" s="46" t="str">
        <f>Source!F288</f>
        <v>17-01-002-03</v>
      </c>
      <c r="C581" s="46" t="str">
        <f>Source!G288</f>
        <v>Установка смесителей</v>
      </c>
      <c r="D581" s="29" t="str">
        <f>Source!H288</f>
        <v>10 ШТ</v>
      </c>
      <c r="E581" s="11">
        <f>Source!I288</f>
        <v>0.3</v>
      </c>
      <c r="F581" s="30">
        <f>Source!AL288+Source!AM288+Source!AO288</f>
        <v>78.320000000000007</v>
      </c>
      <c r="G581" s="31"/>
      <c r="H581" s="30"/>
      <c r="I581" s="31" t="str">
        <f>Source!BO288</f>
        <v/>
      </c>
      <c r="J581" s="31"/>
      <c r="K581" s="30"/>
      <c r="L581" s="32"/>
      <c r="S581">
        <f>ROUND((Source!FX288/100)*((ROUND(Source!AF288*Source!I288, 2)+ROUND(Source!AE288*Source!I288, 2))), 2)</f>
        <v>27.92</v>
      </c>
      <c r="T581">
        <f>Source!X288</f>
        <v>187.07</v>
      </c>
      <c r="U581">
        <f>ROUND((Source!FY288/100)*((ROUND(Source!AF288*Source!I288, 2)+ROUND(Source!AE288*Source!I288, 2))), 2)</f>
        <v>17.100000000000001</v>
      </c>
      <c r="V581">
        <f>Source!Y288</f>
        <v>115.5</v>
      </c>
    </row>
    <row r="582" spans="1:26" x14ac:dyDescent="0.2">
      <c r="C582" s="23" t="str">
        <f>"Объем: "&amp;Source!I288&amp;"=3/"&amp;"10"</f>
        <v>Объем: 0,3=3/10</v>
      </c>
    </row>
    <row r="583" spans="1:26" ht="14.25" x14ac:dyDescent="0.2">
      <c r="A583" s="45"/>
      <c r="B583" s="46"/>
      <c r="C583" s="46" t="s">
        <v>1083</v>
      </c>
      <c r="D583" s="29"/>
      <c r="E583" s="11"/>
      <c r="F583" s="30">
        <f>Source!AO288</f>
        <v>67.34</v>
      </c>
      <c r="G583" s="31" t="str">
        <f>Source!DG288</f>
        <v>)*1,2</v>
      </c>
      <c r="H583" s="30">
        <f>ROUND(Source!AF288*Source!I288, 2)</f>
        <v>24.24</v>
      </c>
      <c r="I583" s="31"/>
      <c r="J583" s="31">
        <f>IF(Source!BA288&lt;&gt; 0, Source!BA288, 1)</f>
        <v>6.71</v>
      </c>
      <c r="K583" s="30">
        <f>Source!S288</f>
        <v>162.66999999999999</v>
      </c>
      <c r="L583" s="32"/>
      <c r="R583">
        <f>H583</f>
        <v>24.24</v>
      </c>
    </row>
    <row r="584" spans="1:26" ht="14.25" x14ac:dyDescent="0.2">
      <c r="A584" s="45"/>
      <c r="B584" s="46"/>
      <c r="C584" s="46" t="s">
        <v>1090</v>
      </c>
      <c r="D584" s="29"/>
      <c r="E584" s="11"/>
      <c r="F584" s="30">
        <f>Source!AL288</f>
        <v>10.98</v>
      </c>
      <c r="G584" s="31" t="str">
        <f>Source!DD288</f>
        <v/>
      </c>
      <c r="H584" s="30">
        <f>ROUND(Source!AC288*Source!I288, 2)</f>
        <v>3.29</v>
      </c>
      <c r="I584" s="31"/>
      <c r="J584" s="31">
        <f>IF(Source!BC288&lt;&gt; 0, Source!BC288, 1)</f>
        <v>6.71</v>
      </c>
      <c r="K584" s="30">
        <f>Source!P288</f>
        <v>22.1</v>
      </c>
      <c r="L584" s="32"/>
    </row>
    <row r="585" spans="1:26" ht="14.25" x14ac:dyDescent="0.2">
      <c r="A585" s="45"/>
      <c r="B585" s="46"/>
      <c r="C585" s="46" t="s">
        <v>1085</v>
      </c>
      <c r="D585" s="29" t="s">
        <v>1086</v>
      </c>
      <c r="E585" s="11">
        <f>Source!BZ288</f>
        <v>128</v>
      </c>
      <c r="F585" s="72" t="str">
        <f>CONCATENATE(" )", Source!DL288, Source!FT288, "=", Source!FX288)</f>
        <v xml:space="preserve"> )*0,9=115,2</v>
      </c>
      <c r="G585" s="73"/>
      <c r="H585" s="30">
        <f>SUM(S581:S589)</f>
        <v>27.92</v>
      </c>
      <c r="I585" s="34"/>
      <c r="J585" s="27">
        <f>Source!AT288</f>
        <v>115</v>
      </c>
      <c r="K585" s="30">
        <f>SUM(T581:T589)</f>
        <v>187.07</v>
      </c>
      <c r="L585" s="32"/>
    </row>
    <row r="586" spans="1:26" ht="14.25" x14ac:dyDescent="0.2">
      <c r="A586" s="45"/>
      <c r="B586" s="46"/>
      <c r="C586" s="46" t="s">
        <v>1087</v>
      </c>
      <c r="D586" s="29" t="s">
        <v>1086</v>
      </c>
      <c r="E586" s="11">
        <f>Source!CA288</f>
        <v>83</v>
      </c>
      <c r="F586" s="72" t="str">
        <f>CONCATENATE(" )", Source!DM288, Source!FU288, "=", Source!FY288)</f>
        <v xml:space="preserve"> )*0,85=70,55</v>
      </c>
      <c r="G586" s="73"/>
      <c r="H586" s="30">
        <f>SUM(U581:U589)</f>
        <v>17.100000000000001</v>
      </c>
      <c r="I586" s="34"/>
      <c r="J586" s="27">
        <f>Source!AU288</f>
        <v>71</v>
      </c>
      <c r="K586" s="30">
        <f>SUM(V581:V589)</f>
        <v>115.5</v>
      </c>
      <c r="L586" s="32"/>
    </row>
    <row r="587" spans="1:26" ht="14.25" x14ac:dyDescent="0.2">
      <c r="A587" s="45"/>
      <c r="B587" s="46"/>
      <c r="C587" s="46" t="s">
        <v>1088</v>
      </c>
      <c r="D587" s="29" t="s">
        <v>1089</v>
      </c>
      <c r="E587" s="11">
        <f>Source!AQ288</f>
        <v>7</v>
      </c>
      <c r="F587" s="30"/>
      <c r="G587" s="31" t="str">
        <f>Source!DI288</f>
        <v>)*1,2</v>
      </c>
      <c r="H587" s="30"/>
      <c r="I587" s="31"/>
      <c r="J587" s="31"/>
      <c r="K587" s="30"/>
      <c r="L587" s="41">
        <f>Source!U288</f>
        <v>2.52</v>
      </c>
    </row>
    <row r="588" spans="1:26" ht="42.75" x14ac:dyDescent="0.2">
      <c r="A588" s="45" t="str">
        <f>Source!E289</f>
        <v>55,1</v>
      </c>
      <c r="B588" s="46" t="str">
        <f>Source!F289</f>
        <v>18.1.10.10-0046</v>
      </c>
      <c r="C588" s="46" t="str">
        <f>Source!G289</f>
        <v>Смесители для умывальников СМ-УМ-ЦА-УВ центральные, с аэратором, латунными маховичками</v>
      </c>
      <c r="D588" s="29" t="str">
        <f>Source!H289</f>
        <v>компл.</v>
      </c>
      <c r="E588" s="11">
        <f>Source!I289</f>
        <v>3</v>
      </c>
      <c r="F588" s="30">
        <f>Source!AL289+Source!AM289+Source!AO289</f>
        <v>310.25</v>
      </c>
      <c r="G588" s="44" t="s">
        <v>6</v>
      </c>
      <c r="H588" s="30">
        <f>ROUND(Source!AC289*Source!I289, 2)+ROUND(Source!AD289*Source!I289, 2)+ROUND(Source!AF289*Source!I289, 2)</f>
        <v>930.75</v>
      </c>
      <c r="I588" s="31"/>
      <c r="J588" s="31">
        <f>IF(Source!BC289&lt;&gt; 0, Source!BC289, 1)</f>
        <v>6.71</v>
      </c>
      <c r="K588" s="30">
        <f>Source!O289</f>
        <v>6245.33</v>
      </c>
      <c r="L588" s="32"/>
      <c r="S588">
        <f>ROUND((Source!FX289/100)*((ROUND(Source!AF289*Source!I289, 2)+ROUND(Source!AE289*Source!I289, 2))), 2)</f>
        <v>0</v>
      </c>
      <c r="T588">
        <f>Source!X289</f>
        <v>0</v>
      </c>
      <c r="U588">
        <f>ROUND((Source!FY289/100)*((ROUND(Source!AF289*Source!I289, 2)+ROUND(Source!AE289*Source!I289, 2))), 2)</f>
        <v>0</v>
      </c>
      <c r="V588">
        <f>Source!Y289</f>
        <v>0</v>
      </c>
      <c r="W588">
        <f>IF(Source!BI289&lt;=1,H588, 0)</f>
        <v>930.75</v>
      </c>
      <c r="X588">
        <f>IF(Source!BI289=2,H588, 0)</f>
        <v>0</v>
      </c>
      <c r="Y588">
        <f>IF(Source!BI289=3,H588, 0)</f>
        <v>0</v>
      </c>
      <c r="Z588">
        <f>IF(Source!BI289=4,H588, 0)</f>
        <v>0</v>
      </c>
    </row>
    <row r="589" spans="1:26" ht="14.25" x14ac:dyDescent="0.2">
      <c r="A589" s="47" t="str">
        <f>Source!E290</f>
        <v>55,2</v>
      </c>
      <c r="B589" s="48" t="str">
        <f>Source!F290</f>
        <v>18.1.10.10</v>
      </c>
      <c r="C589" s="48" t="str">
        <f>Source!G290</f>
        <v>Смесители</v>
      </c>
      <c r="D589" s="35" t="str">
        <f>Source!H290</f>
        <v>шт.</v>
      </c>
      <c r="E589" s="36">
        <f>Source!I290</f>
        <v>3</v>
      </c>
      <c r="F589" s="37">
        <f>Source!AL290+Source!AM290+Source!AO290</f>
        <v>0</v>
      </c>
      <c r="G589" s="42" t="s">
        <v>6</v>
      </c>
      <c r="H589" s="37">
        <f>ROUND(Source!AC290*Source!I290, 2)+ROUND(Source!AD290*Source!I290, 2)+ROUND(Source!AF290*Source!I290, 2)</f>
        <v>0</v>
      </c>
      <c r="I589" s="38"/>
      <c r="J589" s="38">
        <f>IF(Source!BC290&lt;&gt; 0, Source!BC290, 1)</f>
        <v>6.71</v>
      </c>
      <c r="K589" s="37">
        <f>Source!O290</f>
        <v>0</v>
      </c>
      <c r="L589" s="43"/>
      <c r="S589">
        <f>ROUND((Source!FX290/100)*((ROUND(Source!AF290*Source!I290, 2)+ROUND(Source!AE290*Source!I290, 2))), 2)</f>
        <v>0</v>
      </c>
      <c r="T589">
        <f>Source!X290</f>
        <v>0</v>
      </c>
      <c r="U589">
        <f>ROUND((Source!FY290/100)*((ROUND(Source!AF290*Source!I290, 2)+ROUND(Source!AE290*Source!I290, 2))), 2)</f>
        <v>0</v>
      </c>
      <c r="V589">
        <f>Source!Y290</f>
        <v>0</v>
      </c>
      <c r="W589">
        <f>IF(Source!BI290&lt;=1,H589, 0)</f>
        <v>0</v>
      </c>
      <c r="X589">
        <f>IF(Source!BI290=2,H589, 0)</f>
        <v>0</v>
      </c>
      <c r="Y589">
        <f>IF(Source!BI290=3,H589, 0)</f>
        <v>0</v>
      </c>
      <c r="Z589">
        <f>IF(Source!BI290=4,H589, 0)</f>
        <v>0</v>
      </c>
    </row>
    <row r="590" spans="1:26" ht="15" x14ac:dyDescent="0.25">
      <c r="G590" s="69">
        <f>H583+H584+H585+H586+SUM(H588:H589)</f>
        <v>1003.3</v>
      </c>
      <c r="H590" s="69"/>
      <c r="J590" s="69">
        <f>K583+K584+K585+K586+SUM(K588:K589)</f>
        <v>6732.67</v>
      </c>
      <c r="K590" s="69"/>
      <c r="L590" s="40">
        <f>Source!U288</f>
        <v>2.52</v>
      </c>
      <c r="O590" s="24">
        <f>G590</f>
        <v>1003.3</v>
      </c>
      <c r="P590" s="24">
        <f>J590</f>
        <v>6732.67</v>
      </c>
      <c r="Q590" s="24">
        <f>L590</f>
        <v>2.52</v>
      </c>
      <c r="W590">
        <f>IF(Source!BI288&lt;=1,H583+H584+H585+H586, 0)</f>
        <v>72.550000000000011</v>
      </c>
      <c r="X590">
        <f>IF(Source!BI288=2,H583+H584+H585+H586, 0)</f>
        <v>0</v>
      </c>
      <c r="Y590">
        <f>IF(Source!BI288=3,H583+H584+H585+H586, 0)</f>
        <v>0</v>
      </c>
      <c r="Z590">
        <f>IF(Source!BI288=4,H583+H584+H585+H586, 0)</f>
        <v>0</v>
      </c>
    </row>
    <row r="591" spans="1:26" ht="42.75" x14ac:dyDescent="0.2">
      <c r="A591" s="45" t="str">
        <f>Source!E291</f>
        <v>56</v>
      </c>
      <c r="B591" s="46" t="str">
        <f>Source!F291</f>
        <v>16-04-005-01</v>
      </c>
      <c r="C591" s="46" t="str">
        <f>Source!G291</f>
        <v>Прокладка внутренних трубопроводов водоснабжения и отопления из полипропиленовых труб до 20 мм</v>
      </c>
      <c r="D591" s="29" t="str">
        <f>Source!H291</f>
        <v>100 м</v>
      </c>
      <c r="E591" s="11">
        <f>Source!I291</f>
        <v>0.12</v>
      </c>
      <c r="F591" s="30">
        <f>Source!AL291+Source!AM291+Source!AO291</f>
        <v>1428.21</v>
      </c>
      <c r="G591" s="31"/>
      <c r="H591" s="30"/>
      <c r="I591" s="31" t="str">
        <f>Source!BO291</f>
        <v/>
      </c>
      <c r="J591" s="31"/>
      <c r="K591" s="30"/>
      <c r="L591" s="32"/>
      <c r="S591">
        <f>ROUND((Source!FX291/100)*((ROUND(Source!AF291*Source!I291, 2)+ROUND(Source!AE291*Source!I291, 2))), 2)</f>
        <v>152.96</v>
      </c>
      <c r="T591">
        <f>Source!X291</f>
        <v>1024.5999999999999</v>
      </c>
      <c r="U591">
        <f>ROUND((Source!FY291/100)*((ROUND(Source!AF291*Source!I291, 2)+ROUND(Source!AE291*Source!I291, 2))), 2)</f>
        <v>93.68</v>
      </c>
      <c r="V591">
        <f>Source!Y291</f>
        <v>632.58000000000004</v>
      </c>
    </row>
    <row r="592" spans="1:26" x14ac:dyDescent="0.2">
      <c r="C592" s="23" t="str">
        <f>"Объем: "&amp;Source!I291&amp;"=12/"&amp;"100"</f>
        <v>Объем: 0,12=12/100</v>
      </c>
    </row>
    <row r="593" spans="1:26" ht="14.25" x14ac:dyDescent="0.2">
      <c r="A593" s="45"/>
      <c r="B593" s="46"/>
      <c r="C593" s="46" t="s">
        <v>1083</v>
      </c>
      <c r="D593" s="29"/>
      <c r="E593" s="11"/>
      <c r="F593" s="30">
        <f>Source!AO291</f>
        <v>921.99</v>
      </c>
      <c r="G593" s="31" t="str">
        <f>Source!DG291</f>
        <v>)*1,2</v>
      </c>
      <c r="H593" s="30">
        <f>ROUND(Source!AF291*Source!I291, 2)</f>
        <v>132.77000000000001</v>
      </c>
      <c r="I593" s="31"/>
      <c r="J593" s="31">
        <f>IF(Source!BA291&lt;&gt; 0, Source!BA291, 1)</f>
        <v>6.71</v>
      </c>
      <c r="K593" s="30">
        <f>Source!S291</f>
        <v>890.87</v>
      </c>
      <c r="L593" s="32"/>
      <c r="R593">
        <f>H593</f>
        <v>132.77000000000001</v>
      </c>
    </row>
    <row r="594" spans="1:26" ht="14.25" x14ac:dyDescent="0.2">
      <c r="A594" s="45"/>
      <c r="B594" s="46"/>
      <c r="C594" s="46" t="s">
        <v>139</v>
      </c>
      <c r="D594" s="29"/>
      <c r="E594" s="11"/>
      <c r="F594" s="30">
        <f>Source!AM291</f>
        <v>468.26</v>
      </c>
      <c r="G594" s="31" t="str">
        <f>Source!DE291</f>
        <v>)*1,2</v>
      </c>
      <c r="H594" s="30">
        <f>ROUND(Source!AD291*Source!I291, 2)</f>
        <v>67.430000000000007</v>
      </c>
      <c r="I594" s="31"/>
      <c r="J594" s="31">
        <f>IF(Source!BB291&lt;&gt; 0, Source!BB291, 1)</f>
        <v>6.71</v>
      </c>
      <c r="K594" s="30">
        <f>Source!Q291</f>
        <v>452.45</v>
      </c>
      <c r="L594" s="32"/>
    </row>
    <row r="595" spans="1:26" ht="14.25" x14ac:dyDescent="0.2">
      <c r="A595" s="45"/>
      <c r="B595" s="46"/>
      <c r="C595" s="46" t="s">
        <v>1084</v>
      </c>
      <c r="D595" s="29"/>
      <c r="E595" s="11"/>
      <c r="F595" s="30">
        <f>Source!AN291</f>
        <v>0.09</v>
      </c>
      <c r="G595" s="31" t="str">
        <f>Source!DF291</f>
        <v>)*1,2</v>
      </c>
      <c r="H595" s="33">
        <f>ROUND(Source!AE291*Source!I291, 2)</f>
        <v>0.01</v>
      </c>
      <c r="I595" s="31"/>
      <c r="J595" s="31">
        <f>IF(Source!BS291&lt;&gt; 0, Source!BS291, 1)</f>
        <v>6.71</v>
      </c>
      <c r="K595" s="33">
        <f>Source!R291</f>
        <v>0.09</v>
      </c>
      <c r="L595" s="32"/>
      <c r="R595">
        <f>H595</f>
        <v>0.01</v>
      </c>
    </row>
    <row r="596" spans="1:26" ht="14.25" x14ac:dyDescent="0.2">
      <c r="A596" s="45"/>
      <c r="B596" s="46"/>
      <c r="C596" s="46" t="s">
        <v>1090</v>
      </c>
      <c r="D596" s="29"/>
      <c r="E596" s="11"/>
      <c r="F596" s="30">
        <f>Source!AL291</f>
        <v>37.96</v>
      </c>
      <c r="G596" s="31" t="str">
        <f>Source!DD291</f>
        <v/>
      </c>
      <c r="H596" s="30">
        <f>ROUND(Source!AC291*Source!I291, 2)</f>
        <v>4.5599999999999996</v>
      </c>
      <c r="I596" s="31"/>
      <c r="J596" s="31">
        <f>IF(Source!BC291&lt;&gt; 0, Source!BC291, 1)</f>
        <v>6.71</v>
      </c>
      <c r="K596" s="30">
        <f>Source!P291</f>
        <v>30.57</v>
      </c>
      <c r="L596" s="32"/>
    </row>
    <row r="597" spans="1:26" ht="14.25" x14ac:dyDescent="0.2">
      <c r="A597" s="45"/>
      <c r="B597" s="46"/>
      <c r="C597" s="46" t="s">
        <v>1085</v>
      </c>
      <c r="D597" s="29" t="s">
        <v>1086</v>
      </c>
      <c r="E597" s="11">
        <f>Source!BZ291</f>
        <v>128</v>
      </c>
      <c r="F597" s="72" t="str">
        <f>CONCATENATE(" )", Source!DL291, Source!FT291, "=", Source!FX291)</f>
        <v xml:space="preserve"> )*0,9=115,2</v>
      </c>
      <c r="G597" s="73"/>
      <c r="H597" s="30">
        <f>SUM(S591:S602)</f>
        <v>152.96</v>
      </c>
      <c r="I597" s="34"/>
      <c r="J597" s="27">
        <f>Source!AT291</f>
        <v>115</v>
      </c>
      <c r="K597" s="30">
        <f>SUM(T591:T602)</f>
        <v>1024.5999999999999</v>
      </c>
      <c r="L597" s="32"/>
    </row>
    <row r="598" spans="1:26" ht="14.25" x14ac:dyDescent="0.2">
      <c r="A598" s="45"/>
      <c r="B598" s="46"/>
      <c r="C598" s="46" t="s">
        <v>1087</v>
      </c>
      <c r="D598" s="29" t="s">
        <v>1086</v>
      </c>
      <c r="E598" s="11">
        <f>Source!CA291</f>
        <v>83</v>
      </c>
      <c r="F598" s="72" t="str">
        <f>CONCATENATE(" )", Source!DM291, Source!FU291, "=", Source!FY291)</f>
        <v xml:space="preserve"> )*0,85=70,55</v>
      </c>
      <c r="G598" s="73"/>
      <c r="H598" s="30">
        <f>SUM(U591:U602)</f>
        <v>93.68</v>
      </c>
      <c r="I598" s="34"/>
      <c r="J598" s="27">
        <f>Source!AU291</f>
        <v>71</v>
      </c>
      <c r="K598" s="30">
        <f>SUM(V591:V602)</f>
        <v>632.58000000000004</v>
      </c>
      <c r="L598" s="32"/>
    </row>
    <row r="599" spans="1:26" ht="14.25" x14ac:dyDescent="0.2">
      <c r="A599" s="45"/>
      <c r="B599" s="46"/>
      <c r="C599" s="46" t="s">
        <v>1088</v>
      </c>
      <c r="D599" s="29" t="s">
        <v>1089</v>
      </c>
      <c r="E599" s="11">
        <f>Source!AQ291</f>
        <v>96.95</v>
      </c>
      <c r="F599" s="30"/>
      <c r="G599" s="31" t="str">
        <f>Source!DI291</f>
        <v>)*1,2</v>
      </c>
      <c r="H599" s="30"/>
      <c r="I599" s="31"/>
      <c r="J599" s="31"/>
      <c r="K599" s="30"/>
      <c r="L599" s="41">
        <f>Source!U291</f>
        <v>13.960800000000001</v>
      </c>
    </row>
    <row r="600" spans="1:26" ht="28.5" x14ac:dyDescent="0.2">
      <c r="A600" s="45" t="str">
        <f>Source!E292</f>
        <v>56,1</v>
      </c>
      <c r="B600" s="46" t="str">
        <f>Source!F292</f>
        <v>24.1.02.01-0001</v>
      </c>
      <c r="C600" s="46" t="str">
        <f>Source!G292</f>
        <v>Хомут FGRS системы крепежа трубопроводов, размером 12-15 мм</v>
      </c>
      <c r="D600" s="29" t="str">
        <f>Source!H292</f>
        <v>10 шт.</v>
      </c>
      <c r="E600" s="11">
        <f>Source!I292</f>
        <v>1.7</v>
      </c>
      <c r="F600" s="30">
        <f>Source!AL292+Source!AM292+Source!AO292</f>
        <v>91.9</v>
      </c>
      <c r="G600" s="44" t="s">
        <v>6</v>
      </c>
      <c r="H600" s="30">
        <f>ROUND(Source!AC292*Source!I292, 2)+ROUND(Source!AD292*Source!I292, 2)+ROUND(Source!AF292*Source!I292, 2)</f>
        <v>156.22999999999999</v>
      </c>
      <c r="I600" s="31"/>
      <c r="J600" s="31">
        <f>IF(Source!BC292&lt;&gt; 0, Source!BC292, 1)</f>
        <v>6.71</v>
      </c>
      <c r="K600" s="30">
        <f>Source!O292</f>
        <v>1048.3</v>
      </c>
      <c r="L600" s="32"/>
      <c r="S600">
        <f>ROUND((Source!FX292/100)*((ROUND(Source!AF292*Source!I292, 2)+ROUND(Source!AE292*Source!I292, 2))), 2)</f>
        <v>0</v>
      </c>
      <c r="T600">
        <f>Source!X292</f>
        <v>0</v>
      </c>
      <c r="U600">
        <f>ROUND((Source!FY292/100)*((ROUND(Source!AF292*Source!I292, 2)+ROUND(Source!AE292*Source!I292, 2))), 2)</f>
        <v>0</v>
      </c>
      <c r="V600">
        <f>Source!Y292</f>
        <v>0</v>
      </c>
      <c r="W600">
        <f>IF(Source!BI292&lt;=1,H600, 0)</f>
        <v>156.22999999999999</v>
      </c>
      <c r="X600">
        <f>IF(Source!BI292=2,H600, 0)</f>
        <v>0</v>
      </c>
      <c r="Y600">
        <f>IF(Source!BI292=3,H600, 0)</f>
        <v>0</v>
      </c>
      <c r="Z600">
        <f>IF(Source!BI292=4,H600, 0)</f>
        <v>0</v>
      </c>
    </row>
    <row r="601" spans="1:26" ht="14.25" x14ac:dyDescent="0.2">
      <c r="A601" s="45" t="str">
        <f>Source!E293</f>
        <v>56,2</v>
      </c>
      <c r="B601" s="46" t="str">
        <f>Source!F293</f>
        <v>24.1.02.01</v>
      </c>
      <c r="C601" s="46" t="str">
        <f>Source!G293</f>
        <v>Хомуты для крепления труб</v>
      </c>
      <c r="D601" s="29" t="str">
        <f>Source!H293</f>
        <v>шт.</v>
      </c>
      <c r="E601" s="11">
        <f>Source!I293</f>
        <v>17</v>
      </c>
      <c r="F601" s="30">
        <f>Source!AL293+Source!AM293+Source!AO293</f>
        <v>0</v>
      </c>
      <c r="G601" s="44" t="s">
        <v>6</v>
      </c>
      <c r="H601" s="30">
        <f>ROUND(Source!AC293*Source!I293, 2)+ROUND(Source!AD293*Source!I293, 2)+ROUND(Source!AF293*Source!I293, 2)</f>
        <v>0</v>
      </c>
      <c r="I601" s="31"/>
      <c r="J601" s="31">
        <f>IF(Source!BC293&lt;&gt; 0, Source!BC293, 1)</f>
        <v>6.71</v>
      </c>
      <c r="K601" s="30">
        <f>Source!O293</f>
        <v>0</v>
      </c>
      <c r="L601" s="32"/>
      <c r="S601">
        <f>ROUND((Source!FX293/100)*((ROUND(Source!AF293*Source!I293, 2)+ROUND(Source!AE293*Source!I293, 2))), 2)</f>
        <v>0</v>
      </c>
      <c r="T601">
        <f>Source!X293</f>
        <v>0</v>
      </c>
      <c r="U601">
        <f>ROUND((Source!FY293/100)*((ROUND(Source!AF293*Source!I293, 2)+ROUND(Source!AE293*Source!I293, 2))), 2)</f>
        <v>0</v>
      </c>
      <c r="V601">
        <f>Source!Y293</f>
        <v>0</v>
      </c>
      <c r="W601">
        <f>IF(Source!BI293&lt;=1,H601, 0)</f>
        <v>0</v>
      </c>
      <c r="X601">
        <f>IF(Source!BI293=2,H601, 0)</f>
        <v>0</v>
      </c>
      <c r="Y601">
        <f>IF(Source!BI293=3,H601, 0)</f>
        <v>0</v>
      </c>
      <c r="Z601">
        <f>IF(Source!BI293=4,H601, 0)</f>
        <v>0</v>
      </c>
    </row>
    <row r="602" spans="1:26" ht="85.5" x14ac:dyDescent="0.2">
      <c r="A602" s="47" t="str">
        <f>Source!E294</f>
        <v>56,3</v>
      </c>
      <c r="B602" s="48" t="str">
        <f>Source!F294</f>
        <v>24.3.02.01-0011</v>
      </c>
      <c r="C602" s="48" t="str">
        <f>Source!G294</f>
        <v>Трубопроводы напорные из полипропилена PPRS с гильзами и креплениями для холодного и горячего водоснабжения PN20 SDR 6, диаметром 16 мм, толщина стенки 2,7 мм</v>
      </c>
      <c r="D602" s="35" t="str">
        <f>Source!H294</f>
        <v>м</v>
      </c>
      <c r="E602" s="36">
        <f>Source!I294</f>
        <v>12.06</v>
      </c>
      <c r="F602" s="37">
        <f>Source!AL294+Source!AM294+Source!AO294</f>
        <v>6.59</v>
      </c>
      <c r="G602" s="42" t="s">
        <v>6</v>
      </c>
      <c r="H602" s="37">
        <f>ROUND(Source!AC294*Source!I294, 2)+ROUND(Source!AD294*Source!I294, 2)+ROUND(Source!AF294*Source!I294, 2)</f>
        <v>79.48</v>
      </c>
      <c r="I602" s="38"/>
      <c r="J602" s="38">
        <f>IF(Source!BC294&lt;&gt; 0, Source!BC294, 1)</f>
        <v>6.71</v>
      </c>
      <c r="K602" s="37">
        <f>Source!O294</f>
        <v>533.28</v>
      </c>
      <c r="L602" s="43"/>
      <c r="S602">
        <f>ROUND((Source!FX294/100)*((ROUND(Source!AF294*Source!I294, 2)+ROUND(Source!AE294*Source!I294, 2))), 2)</f>
        <v>0</v>
      </c>
      <c r="T602">
        <f>Source!X294</f>
        <v>0</v>
      </c>
      <c r="U602">
        <f>ROUND((Source!FY294/100)*((ROUND(Source!AF294*Source!I294, 2)+ROUND(Source!AE294*Source!I294, 2))), 2)</f>
        <v>0</v>
      </c>
      <c r="V602">
        <f>Source!Y294</f>
        <v>0</v>
      </c>
      <c r="W602">
        <f>IF(Source!BI294&lt;=1,H602, 0)</f>
        <v>79.48</v>
      </c>
      <c r="X602">
        <f>IF(Source!BI294=2,H602, 0)</f>
        <v>0</v>
      </c>
      <c r="Y602">
        <f>IF(Source!BI294=3,H602, 0)</f>
        <v>0</v>
      </c>
      <c r="Z602">
        <f>IF(Source!BI294=4,H602, 0)</f>
        <v>0</v>
      </c>
    </row>
    <row r="603" spans="1:26" ht="15" x14ac:dyDescent="0.25">
      <c r="G603" s="69">
        <f>H593+H594+H596+H597+H598+SUM(H600:H602)</f>
        <v>687.11</v>
      </c>
      <c r="H603" s="69"/>
      <c r="J603" s="69">
        <f>K593+K594+K596+K597+K598+SUM(K600:K602)</f>
        <v>4612.6499999999996</v>
      </c>
      <c r="K603" s="69"/>
      <c r="L603" s="40">
        <f>Source!U291</f>
        <v>13.960800000000001</v>
      </c>
      <c r="O603" s="24">
        <f>G603</f>
        <v>687.11</v>
      </c>
      <c r="P603" s="24">
        <f>J603</f>
        <v>4612.6499999999996</v>
      </c>
      <c r="Q603" s="24">
        <f>L603</f>
        <v>13.960800000000001</v>
      </c>
      <c r="W603">
        <f>IF(Source!BI291&lt;=1,H593+H594+H596+H597+H598, 0)</f>
        <v>451.40000000000003</v>
      </c>
      <c r="X603">
        <f>IF(Source!BI291=2,H593+H594+H596+H597+H598, 0)</f>
        <v>0</v>
      </c>
      <c r="Y603">
        <f>IF(Source!BI291=3,H593+H594+H596+H597+H598, 0)</f>
        <v>0</v>
      </c>
      <c r="Z603">
        <f>IF(Source!BI291=4,H593+H594+H596+H597+H598, 0)</f>
        <v>0</v>
      </c>
    </row>
    <row r="604" spans="1:26" ht="57" x14ac:dyDescent="0.2">
      <c r="A604" s="45" t="str">
        <f>Source!E295</f>
        <v>57</v>
      </c>
      <c r="B604" s="46" t="str">
        <f>Source!F295</f>
        <v>16-05-001-01</v>
      </c>
      <c r="C604" s="46" t="str">
        <f>Source!G295</f>
        <v>Установка вентилей, задвижек, затворов, клапанов обратных, кранов проходных на трубопроводах из стальных труб диаметром до 25 мм</v>
      </c>
      <c r="D604" s="29" t="str">
        <f>Source!H295</f>
        <v>ШТ</v>
      </c>
      <c r="E604" s="11">
        <f>Source!I295</f>
        <v>6</v>
      </c>
      <c r="F604" s="30">
        <f>Source!AL295+Source!AM295+Source!AO295</f>
        <v>42.04</v>
      </c>
      <c r="G604" s="31"/>
      <c r="H604" s="30"/>
      <c r="I604" s="31" t="str">
        <f>Source!BO295</f>
        <v/>
      </c>
      <c r="J604" s="31"/>
      <c r="K604" s="30"/>
      <c r="L604" s="32"/>
      <c r="S604">
        <f>ROUND((Source!FX295/100)*((ROUND(Source!AF295*Source!I295, 2)+ROUND(Source!AE295*Source!I295, 2))), 2)</f>
        <v>111.56</v>
      </c>
      <c r="T604">
        <f>Source!X295</f>
        <v>747.27</v>
      </c>
      <c r="U604">
        <f>ROUND((Source!FY295/100)*((ROUND(Source!AF295*Source!I295, 2)+ROUND(Source!AE295*Source!I295, 2))), 2)</f>
        <v>68.319999999999993</v>
      </c>
      <c r="V604">
        <f>Source!Y295</f>
        <v>461.36</v>
      </c>
    </row>
    <row r="605" spans="1:26" ht="14.25" x14ac:dyDescent="0.2">
      <c r="A605" s="45"/>
      <c r="B605" s="46"/>
      <c r="C605" s="46" t="s">
        <v>1083</v>
      </c>
      <c r="D605" s="29"/>
      <c r="E605" s="11"/>
      <c r="F605" s="30">
        <f>Source!AO295</f>
        <v>13.33</v>
      </c>
      <c r="G605" s="31" t="str">
        <f>Source!DG295</f>
        <v>)*1,2</v>
      </c>
      <c r="H605" s="30">
        <f>ROUND(Source!AF295*Source!I295, 2)</f>
        <v>96</v>
      </c>
      <c r="I605" s="31"/>
      <c r="J605" s="31">
        <f>IF(Source!BA295&lt;&gt; 0, Source!BA295, 1)</f>
        <v>6.71</v>
      </c>
      <c r="K605" s="30">
        <f>Source!S295</f>
        <v>644.16</v>
      </c>
      <c r="L605" s="32"/>
      <c r="R605">
        <f>H605</f>
        <v>96</v>
      </c>
    </row>
    <row r="606" spans="1:26" ht="14.25" x14ac:dyDescent="0.2">
      <c r="A606" s="45"/>
      <c r="B606" s="46"/>
      <c r="C606" s="46" t="s">
        <v>139</v>
      </c>
      <c r="D606" s="29"/>
      <c r="E606" s="11"/>
      <c r="F606" s="30">
        <f>Source!AM295</f>
        <v>3.5</v>
      </c>
      <c r="G606" s="31" t="str">
        <f>Source!DE295</f>
        <v>)*1,2</v>
      </c>
      <c r="H606" s="30">
        <f>ROUND(Source!AD295*Source!I295, 2)</f>
        <v>25.2</v>
      </c>
      <c r="I606" s="31"/>
      <c r="J606" s="31">
        <f>IF(Source!BB295&lt;&gt; 0, Source!BB295, 1)</f>
        <v>6.71</v>
      </c>
      <c r="K606" s="30">
        <f>Source!Q295</f>
        <v>169.09</v>
      </c>
      <c r="L606" s="32"/>
    </row>
    <row r="607" spans="1:26" ht="14.25" x14ac:dyDescent="0.2">
      <c r="A607" s="45"/>
      <c r="B607" s="46"/>
      <c r="C607" s="46" t="s">
        <v>1084</v>
      </c>
      <c r="D607" s="29"/>
      <c r="E607" s="11"/>
      <c r="F607" s="30">
        <f>Source!AN295</f>
        <v>0.12</v>
      </c>
      <c r="G607" s="31" t="str">
        <f>Source!DF295</f>
        <v>)*1,2</v>
      </c>
      <c r="H607" s="33">
        <f>ROUND(Source!AE295*Source!I295, 2)</f>
        <v>0.84</v>
      </c>
      <c r="I607" s="31"/>
      <c r="J607" s="31">
        <f>IF(Source!BS295&lt;&gt; 0, Source!BS295, 1)</f>
        <v>6.71</v>
      </c>
      <c r="K607" s="33">
        <f>Source!R295</f>
        <v>5.64</v>
      </c>
      <c r="L607" s="32"/>
      <c r="R607">
        <f>H607</f>
        <v>0.84</v>
      </c>
    </row>
    <row r="608" spans="1:26" ht="14.25" x14ac:dyDescent="0.2">
      <c r="A608" s="45"/>
      <c r="B608" s="46"/>
      <c r="C608" s="46" t="s">
        <v>1090</v>
      </c>
      <c r="D608" s="29"/>
      <c r="E608" s="11"/>
      <c r="F608" s="30">
        <f>Source!AL295</f>
        <v>25.21</v>
      </c>
      <c r="G608" s="31" t="str">
        <f>Source!DD295</f>
        <v/>
      </c>
      <c r="H608" s="30">
        <f>ROUND(Source!AC295*Source!I295, 2)</f>
        <v>151.26</v>
      </c>
      <c r="I608" s="31"/>
      <c r="J608" s="31">
        <f>IF(Source!BC295&lt;&gt; 0, Source!BC295, 1)</f>
        <v>6.71</v>
      </c>
      <c r="K608" s="30">
        <f>Source!P295</f>
        <v>1014.95</v>
      </c>
      <c r="L608" s="32"/>
    </row>
    <row r="609" spans="1:26" ht="14.25" x14ac:dyDescent="0.2">
      <c r="A609" s="45"/>
      <c r="B609" s="46"/>
      <c r="C609" s="46" t="s">
        <v>1085</v>
      </c>
      <c r="D609" s="29" t="s">
        <v>1086</v>
      </c>
      <c r="E609" s="11">
        <f>Source!BZ295</f>
        <v>128</v>
      </c>
      <c r="F609" s="72" t="str">
        <f>CONCATENATE(" )", Source!DL295, Source!FT295, "=", Source!FX295)</f>
        <v xml:space="preserve"> )*0,9=115,2</v>
      </c>
      <c r="G609" s="73"/>
      <c r="H609" s="30">
        <f>SUM(S604:S612)</f>
        <v>111.56</v>
      </c>
      <c r="I609" s="34"/>
      <c r="J609" s="27">
        <f>Source!AT295</f>
        <v>115</v>
      </c>
      <c r="K609" s="30">
        <f>SUM(T604:T612)</f>
        <v>747.27</v>
      </c>
      <c r="L609" s="32"/>
    </row>
    <row r="610" spans="1:26" ht="14.25" x14ac:dyDescent="0.2">
      <c r="A610" s="45"/>
      <c r="B610" s="46"/>
      <c r="C610" s="46" t="s">
        <v>1087</v>
      </c>
      <c r="D610" s="29" t="s">
        <v>1086</v>
      </c>
      <c r="E610" s="11">
        <f>Source!CA295</f>
        <v>83</v>
      </c>
      <c r="F610" s="72" t="str">
        <f>CONCATENATE(" )", Source!DM295, Source!FU295, "=", Source!FY295)</f>
        <v xml:space="preserve"> )*0,85=70,55</v>
      </c>
      <c r="G610" s="73"/>
      <c r="H610" s="30">
        <f>SUM(U604:U612)</f>
        <v>68.319999999999993</v>
      </c>
      <c r="I610" s="34"/>
      <c r="J610" s="27">
        <f>Source!AU295</f>
        <v>71</v>
      </c>
      <c r="K610" s="30">
        <f>SUM(V604:V612)</f>
        <v>461.36</v>
      </c>
      <c r="L610" s="32"/>
    </row>
    <row r="611" spans="1:26" ht="14.25" x14ac:dyDescent="0.2">
      <c r="A611" s="45"/>
      <c r="B611" s="46"/>
      <c r="C611" s="46" t="s">
        <v>1088</v>
      </c>
      <c r="D611" s="29" t="s">
        <v>1089</v>
      </c>
      <c r="E611" s="11">
        <f>Source!AQ295</f>
        <v>1.47</v>
      </c>
      <c r="F611" s="30"/>
      <c r="G611" s="31" t="str">
        <f>Source!DI295</f>
        <v>)*1,2</v>
      </c>
      <c r="H611" s="30"/>
      <c r="I611" s="31"/>
      <c r="J611" s="31"/>
      <c r="K611" s="30"/>
      <c r="L611" s="41">
        <f>Source!U295</f>
        <v>10.584</v>
      </c>
    </row>
    <row r="612" spans="1:26" ht="28.5" x14ac:dyDescent="0.2">
      <c r="A612" s="47" t="str">
        <f>Source!E296</f>
        <v>57,1</v>
      </c>
      <c r="B612" s="48" t="str">
        <f>Source!F296</f>
        <v>18.1.09.06-0063</v>
      </c>
      <c r="C612" s="48" t="str">
        <f>Source!G296</f>
        <v>Кран шаровый муфтовый Valtec для воды диаметром 15 мм, тип в/в</v>
      </c>
      <c r="D612" s="35" t="str">
        <f>Source!H296</f>
        <v>шт.</v>
      </c>
      <c r="E612" s="36">
        <f>Source!I296</f>
        <v>6</v>
      </c>
      <c r="F612" s="37">
        <f>Source!AL296+Source!AM296+Source!AO296</f>
        <v>27.2</v>
      </c>
      <c r="G612" s="42" t="s">
        <v>6</v>
      </c>
      <c r="H612" s="37">
        <f>ROUND(Source!AC296*Source!I296, 2)+ROUND(Source!AD296*Source!I296, 2)+ROUND(Source!AF296*Source!I296, 2)</f>
        <v>163.19999999999999</v>
      </c>
      <c r="I612" s="38"/>
      <c r="J612" s="38">
        <f>IF(Source!BC296&lt;&gt; 0, Source!BC296, 1)</f>
        <v>6.71</v>
      </c>
      <c r="K612" s="37">
        <f>Source!O296</f>
        <v>1095.07</v>
      </c>
      <c r="L612" s="43"/>
      <c r="S612">
        <f>ROUND((Source!FX296/100)*((ROUND(Source!AF296*Source!I296, 2)+ROUND(Source!AE296*Source!I296, 2))), 2)</f>
        <v>0</v>
      </c>
      <c r="T612">
        <f>Source!X296</f>
        <v>0</v>
      </c>
      <c r="U612">
        <f>ROUND((Source!FY296/100)*((ROUND(Source!AF296*Source!I296, 2)+ROUND(Source!AE296*Source!I296, 2))), 2)</f>
        <v>0</v>
      </c>
      <c r="V612">
        <f>Source!Y296</f>
        <v>0</v>
      </c>
      <c r="W612">
        <f>IF(Source!BI296&lt;=1,H612, 0)</f>
        <v>163.19999999999999</v>
      </c>
      <c r="X612">
        <f>IF(Source!BI296=2,H612, 0)</f>
        <v>0</v>
      </c>
      <c r="Y612">
        <f>IF(Source!BI296=3,H612, 0)</f>
        <v>0</v>
      </c>
      <c r="Z612">
        <f>IF(Source!BI296=4,H612, 0)</f>
        <v>0</v>
      </c>
    </row>
    <row r="613" spans="1:26" ht="15" x14ac:dyDescent="0.25">
      <c r="G613" s="69">
        <f>H605+H606+H608+H609+H610+SUM(H612:H612)</f>
        <v>615.54</v>
      </c>
      <c r="H613" s="69"/>
      <c r="J613" s="69">
        <f>K605+K606+K608+K609+K610+SUM(K612:K612)</f>
        <v>4131.9000000000005</v>
      </c>
      <c r="K613" s="69"/>
      <c r="L613" s="40">
        <f>Source!U295</f>
        <v>10.584</v>
      </c>
      <c r="O613" s="24">
        <f>G613</f>
        <v>615.54</v>
      </c>
      <c r="P613" s="24">
        <f>J613</f>
        <v>4131.9000000000005</v>
      </c>
      <c r="Q613" s="24">
        <f>L613</f>
        <v>10.584</v>
      </c>
      <c r="W613">
        <f>IF(Source!BI295&lt;=1,H605+H606+H608+H609+H610, 0)</f>
        <v>452.34</v>
      </c>
      <c r="X613">
        <f>IF(Source!BI295=2,H605+H606+H608+H609+H610, 0)</f>
        <v>0</v>
      </c>
      <c r="Y613">
        <f>IF(Source!BI295=3,H605+H606+H608+H609+H610, 0)</f>
        <v>0</v>
      </c>
      <c r="Z613">
        <f>IF(Source!BI295=4,H605+H606+H608+H609+H610, 0)</f>
        <v>0</v>
      </c>
    </row>
    <row r="614" spans="1:26" ht="71.25" x14ac:dyDescent="0.2">
      <c r="A614" s="45" t="str">
        <f>Source!E297</f>
        <v>58</v>
      </c>
      <c r="B614" s="46" t="str">
        <f>Source!F297</f>
        <v>м08-03-525-09</v>
      </c>
      <c r="C614" s="46" t="str">
        <f>Source!G297</f>
        <v>Аппарат штепсельный общего назначения, устанавливаемый на конструкции на стене или колонне, с контактами силовых цепей на ток до 63 А</v>
      </c>
      <c r="D614" s="29" t="str">
        <f>Source!H297</f>
        <v>КОМПЛ</v>
      </c>
      <c r="E614" s="11">
        <f>Source!I297</f>
        <v>3</v>
      </c>
      <c r="F614" s="30">
        <f>Source!AL297+Source!AM297+Source!AO297</f>
        <v>65.78</v>
      </c>
      <c r="G614" s="31"/>
      <c r="H614" s="30"/>
      <c r="I614" s="31" t="str">
        <f>Source!BO297</f>
        <v/>
      </c>
      <c r="J614" s="31"/>
      <c r="K614" s="30"/>
      <c r="L614" s="32"/>
      <c r="S614">
        <f>ROUND((Source!FX297/100)*((ROUND(Source!AF297*Source!I297, 2)+ROUND(Source!AE297*Source!I297, 2))), 2)</f>
        <v>73.989999999999995</v>
      </c>
      <c r="T614">
        <f>Source!X297</f>
        <v>496.44</v>
      </c>
      <c r="U614">
        <f>ROUND((Source!FY297/100)*((ROUND(Source!AF297*Source!I297, 2)+ROUND(Source!AE297*Source!I297, 2))), 2)</f>
        <v>50.62</v>
      </c>
      <c r="V614">
        <f>Source!Y297</f>
        <v>339.67</v>
      </c>
    </row>
    <row r="615" spans="1:26" ht="14.25" x14ac:dyDescent="0.2">
      <c r="A615" s="45"/>
      <c r="B615" s="46"/>
      <c r="C615" s="46" t="s">
        <v>1083</v>
      </c>
      <c r="D615" s="29"/>
      <c r="E615" s="11"/>
      <c r="F615" s="30">
        <f>Source!AO297</f>
        <v>21.63</v>
      </c>
      <c r="G615" s="31" t="str">
        <f>Source!DG297</f>
        <v>)*1,2</v>
      </c>
      <c r="H615" s="30">
        <f>ROUND(Source!AF297*Source!I297, 2)</f>
        <v>77.88</v>
      </c>
      <c r="I615" s="31"/>
      <c r="J615" s="31">
        <f>IF(Source!BA297&lt;&gt; 0, Source!BA297, 1)</f>
        <v>6.71</v>
      </c>
      <c r="K615" s="30">
        <f>Source!S297</f>
        <v>522.57000000000005</v>
      </c>
      <c r="L615" s="32"/>
      <c r="R615">
        <f>H615</f>
        <v>77.88</v>
      </c>
    </row>
    <row r="616" spans="1:26" ht="14.25" x14ac:dyDescent="0.2">
      <c r="A616" s="45"/>
      <c r="B616" s="46"/>
      <c r="C616" s="46" t="s">
        <v>139</v>
      </c>
      <c r="D616" s="29"/>
      <c r="E616" s="11"/>
      <c r="F616" s="30">
        <f>Source!AM297</f>
        <v>0.59</v>
      </c>
      <c r="G616" s="31" t="str">
        <f>Source!DE297</f>
        <v>)*1,2</v>
      </c>
      <c r="H616" s="30">
        <f>ROUND(Source!AD297*Source!I297, 2)</f>
        <v>2.13</v>
      </c>
      <c r="I616" s="31"/>
      <c r="J616" s="31">
        <f>IF(Source!BB297&lt;&gt; 0, Source!BB297, 1)</f>
        <v>6.71</v>
      </c>
      <c r="K616" s="30">
        <f>Source!Q297</f>
        <v>14.29</v>
      </c>
      <c r="L616" s="32"/>
    </row>
    <row r="617" spans="1:26" ht="14.25" x14ac:dyDescent="0.2">
      <c r="A617" s="45"/>
      <c r="B617" s="46"/>
      <c r="C617" s="46" t="s">
        <v>1090</v>
      </c>
      <c r="D617" s="29"/>
      <c r="E617" s="11"/>
      <c r="F617" s="30">
        <f>Source!AL297</f>
        <v>43.56</v>
      </c>
      <c r="G617" s="31" t="str">
        <f>Source!DD297</f>
        <v/>
      </c>
      <c r="H617" s="30">
        <f>ROUND(Source!AC297*Source!I297, 2)</f>
        <v>130.68</v>
      </c>
      <c r="I617" s="31"/>
      <c r="J617" s="31">
        <f>IF(Source!BC297&lt;&gt; 0, Source!BC297, 1)</f>
        <v>6.71</v>
      </c>
      <c r="K617" s="30">
        <f>Source!P297</f>
        <v>876.86</v>
      </c>
      <c r="L617" s="32"/>
    </row>
    <row r="618" spans="1:26" ht="14.25" x14ac:dyDescent="0.2">
      <c r="A618" s="45"/>
      <c r="B618" s="46"/>
      <c r="C618" s="46" t="s">
        <v>1085</v>
      </c>
      <c r="D618" s="29" t="s">
        <v>1086</v>
      </c>
      <c r="E618" s="11">
        <f>Source!BZ297</f>
        <v>95</v>
      </c>
      <c r="F618" s="49"/>
      <c r="G618" s="31"/>
      <c r="H618" s="30">
        <f>SUM(S614:S621)</f>
        <v>73.989999999999995</v>
      </c>
      <c r="I618" s="34"/>
      <c r="J618" s="27">
        <f>Source!AT297</f>
        <v>95</v>
      </c>
      <c r="K618" s="30">
        <f>SUM(T614:T621)</f>
        <v>496.44</v>
      </c>
      <c r="L618" s="32"/>
    </row>
    <row r="619" spans="1:26" ht="14.25" x14ac:dyDescent="0.2">
      <c r="A619" s="45"/>
      <c r="B619" s="46"/>
      <c r="C619" s="46" t="s">
        <v>1087</v>
      </c>
      <c r="D619" s="29" t="s">
        <v>1086</v>
      </c>
      <c r="E619" s="11">
        <f>Source!CA297</f>
        <v>65</v>
      </c>
      <c r="F619" s="49"/>
      <c r="G619" s="31"/>
      <c r="H619" s="30">
        <f>SUM(U614:U621)</f>
        <v>50.62</v>
      </c>
      <c r="I619" s="34"/>
      <c r="J619" s="27">
        <f>Source!AU297</f>
        <v>65</v>
      </c>
      <c r="K619" s="30">
        <f>SUM(V614:V621)</f>
        <v>339.67</v>
      </c>
      <c r="L619" s="32"/>
    </row>
    <row r="620" spans="1:26" ht="14.25" x14ac:dyDescent="0.2">
      <c r="A620" s="45"/>
      <c r="B620" s="46"/>
      <c r="C620" s="46" t="s">
        <v>1088</v>
      </c>
      <c r="D620" s="29" t="s">
        <v>1089</v>
      </c>
      <c r="E620" s="11">
        <f>Source!AQ297</f>
        <v>2.09</v>
      </c>
      <c r="F620" s="30"/>
      <c r="G620" s="31" t="str">
        <f>Source!DI297</f>
        <v>)*1,2</v>
      </c>
      <c r="H620" s="30"/>
      <c r="I620" s="31"/>
      <c r="J620" s="31"/>
      <c r="K620" s="30"/>
      <c r="L620" s="41">
        <f>Source!U297</f>
        <v>7.5239999999999991</v>
      </c>
    </row>
    <row r="621" spans="1:26" ht="71.25" x14ac:dyDescent="0.2">
      <c r="A621" s="47" t="str">
        <f>Source!E298</f>
        <v>58,1</v>
      </c>
      <c r="B621" s="48" t="str">
        <f>Source!F298</f>
        <v>63.1.01.06-0113</v>
      </c>
      <c r="C621" s="48" t="str">
        <f>Source!G298</f>
        <v>Электроводонагреватели накопительные вертикального исполнения, объемом 10л, мощностью 1,25 кВт, размерами 300х400х300 мм прим.</v>
      </c>
      <c r="D621" s="35" t="str">
        <f>Source!H298</f>
        <v>шт.</v>
      </c>
      <c r="E621" s="36">
        <f>Source!I298</f>
        <v>3</v>
      </c>
      <c r="F621" s="37">
        <f>Source!AL298+Source!AM298+Source!AO298</f>
        <v>2572.27</v>
      </c>
      <c r="G621" s="42" t="s">
        <v>6</v>
      </c>
      <c r="H621" s="37">
        <f>ROUND(Source!AC298*Source!I298, 2)+ROUND(Source!AD298*Source!I298, 2)+ROUND(Source!AF298*Source!I298, 2)</f>
        <v>7716.81</v>
      </c>
      <c r="I621" s="38"/>
      <c r="J621" s="38">
        <f>IF(Source!BC298&lt;&gt; 0, Source!BC298, 1)</f>
        <v>6.71</v>
      </c>
      <c r="K621" s="37">
        <f>Source!O298</f>
        <v>51779.8</v>
      </c>
      <c r="L621" s="43"/>
      <c r="S621">
        <f>ROUND((Source!FX298/100)*((ROUND(Source!AF298*Source!I298, 2)+ROUND(Source!AE298*Source!I298, 2))), 2)</f>
        <v>0</v>
      </c>
      <c r="T621">
        <f>Source!X298</f>
        <v>0</v>
      </c>
      <c r="U621">
        <f>ROUND((Source!FY298/100)*((ROUND(Source!AF298*Source!I298, 2)+ROUND(Source!AE298*Source!I298, 2))), 2)</f>
        <v>0</v>
      </c>
      <c r="V621">
        <f>Source!Y298</f>
        <v>0</v>
      </c>
      <c r="W621">
        <f>IF(Source!BI298&lt;=1,H621, 0)</f>
        <v>0</v>
      </c>
      <c r="X621">
        <f>IF(Source!BI298=2,H621, 0)</f>
        <v>7716.81</v>
      </c>
      <c r="Y621">
        <f>IF(Source!BI298=3,H621, 0)</f>
        <v>0</v>
      </c>
      <c r="Z621">
        <f>IF(Source!BI298=4,H621, 0)</f>
        <v>0</v>
      </c>
    </row>
    <row r="622" spans="1:26" ht="15" x14ac:dyDescent="0.25">
      <c r="G622" s="69">
        <f>H615+H616+H617+H618+H619+SUM(H621:H621)</f>
        <v>8052.1100000000006</v>
      </c>
      <c r="H622" s="69"/>
      <c r="J622" s="69">
        <f>K615+K616+K617+K618+K619+SUM(K621:K621)</f>
        <v>54029.630000000005</v>
      </c>
      <c r="K622" s="69"/>
      <c r="L622" s="40">
        <f>Source!U297</f>
        <v>7.5239999999999991</v>
      </c>
      <c r="O622" s="24">
        <f>G622</f>
        <v>8052.1100000000006</v>
      </c>
      <c r="P622" s="24">
        <f>J622</f>
        <v>54029.630000000005</v>
      </c>
      <c r="Q622" s="24">
        <f>L622</f>
        <v>7.5239999999999991</v>
      </c>
      <c r="W622">
        <f>IF(Source!BI297&lt;=1,H615+H616+H617+H618+H619, 0)</f>
        <v>0</v>
      </c>
      <c r="X622">
        <f>IF(Source!BI297=2,H615+H616+H617+H618+H619, 0)</f>
        <v>335.3</v>
      </c>
      <c r="Y622">
        <f>IF(Source!BI297=3,H615+H616+H617+H618+H619, 0)</f>
        <v>0</v>
      </c>
      <c r="Z622">
        <f>IF(Source!BI297=4,H615+H616+H617+H618+H619, 0)</f>
        <v>0</v>
      </c>
    </row>
    <row r="624" spans="1:26" ht="15" x14ac:dyDescent="0.25">
      <c r="A624" s="71" t="str">
        <f>CONCATENATE("Итого по разделу: ",IF(Source!G300&lt;&gt;"Новый раздел", Source!G300, ""))</f>
        <v>Итого по разделу: Сантехнические работы</v>
      </c>
      <c r="B624" s="71"/>
      <c r="C624" s="71"/>
      <c r="D624" s="71"/>
      <c r="E624" s="71"/>
      <c r="F624" s="71"/>
      <c r="G624" s="70">
        <f>SUM(O568:O623)</f>
        <v>11442.76</v>
      </c>
      <c r="H624" s="70"/>
      <c r="I624" s="26"/>
      <c r="J624" s="70">
        <f>SUM(P568:P623)</f>
        <v>76785.87000000001</v>
      </c>
      <c r="K624" s="70"/>
      <c r="L624" s="40">
        <f>SUM(Q568:Q623)</f>
        <v>37.825200000000002</v>
      </c>
    </row>
    <row r="625" spans="1:12" ht="15" x14ac:dyDescent="0.25">
      <c r="A625" s="71" t="str">
        <f>CONCATENATE("Итого по локальной смете: ",IF(Source!G329&lt;&gt;"Новая локальная смета", Source!G329, ""))</f>
        <v xml:space="preserve">Итого по локальной смете: </v>
      </c>
      <c r="B625" s="71"/>
      <c r="C625" s="71"/>
      <c r="D625" s="71"/>
      <c r="E625" s="71"/>
      <c r="F625" s="71"/>
      <c r="G625" s="70">
        <f>SUM(O26:O624)</f>
        <v>166657.92000000004</v>
      </c>
      <c r="H625" s="70"/>
      <c r="I625" s="26"/>
      <c r="J625" s="70">
        <f>SUM(P26:P624)</f>
        <v>1148672.3199999998</v>
      </c>
      <c r="K625" s="70"/>
      <c r="L625" s="40">
        <f>SUM(Q26:Q624)</f>
        <v>1332.7117816999998</v>
      </c>
    </row>
    <row r="626" spans="1:12" ht="15" x14ac:dyDescent="0.25">
      <c r="C626" s="71" t="str">
        <f>Source!H357</f>
        <v>Всего</v>
      </c>
      <c r="D626" s="71"/>
      <c r="E626" s="71"/>
      <c r="F626" s="71"/>
      <c r="G626" s="71"/>
      <c r="H626" s="71"/>
      <c r="I626" s="71"/>
      <c r="J626" s="70">
        <f>IF(Source!F357=0, "", Source!F357)</f>
        <v>1148672.32</v>
      </c>
      <c r="K626" s="70"/>
    </row>
    <row r="627" spans="1:12" ht="15" x14ac:dyDescent="0.25">
      <c r="C627" s="71" t="str">
        <f>Source!H358</f>
        <v>Итого НДС 18%</v>
      </c>
      <c r="D627" s="71"/>
      <c r="E627" s="71"/>
      <c r="F627" s="71"/>
      <c r="G627" s="71"/>
      <c r="H627" s="71"/>
      <c r="I627" s="71"/>
      <c r="J627" s="70">
        <f>IF(Source!F358=0, "", Source!F358)</f>
        <v>206761.02</v>
      </c>
      <c r="K627" s="70"/>
    </row>
    <row r="628" spans="1:12" ht="15" x14ac:dyDescent="0.25">
      <c r="C628" s="71" t="str">
        <f>Source!H359</f>
        <v>Всего по смете</v>
      </c>
      <c r="D628" s="71"/>
      <c r="E628" s="71"/>
      <c r="F628" s="71"/>
      <c r="G628" s="71"/>
      <c r="H628" s="71"/>
      <c r="I628" s="71"/>
      <c r="J628" s="70">
        <f>IF(Source!F359=0, "", Source!F359)</f>
        <v>1355433.34</v>
      </c>
      <c r="K628" s="70"/>
    </row>
  </sheetData>
  <mergeCells count="216">
    <mergeCell ref="C15:F15"/>
    <mergeCell ref="G15:H15"/>
    <mergeCell ref="I15:J15"/>
    <mergeCell ref="K15:L15"/>
    <mergeCell ref="C16:F16"/>
    <mergeCell ref="G16:H16"/>
    <mergeCell ref="I16:J16"/>
    <mergeCell ref="K16:L16"/>
    <mergeCell ref="B5:K5"/>
    <mergeCell ref="B7:K7"/>
    <mergeCell ref="B9:K9"/>
    <mergeCell ref="B10:K10"/>
    <mergeCell ref="G14:H14"/>
    <mergeCell ref="I14:J14"/>
    <mergeCell ref="C19:F19"/>
    <mergeCell ref="G19:H19"/>
    <mergeCell ref="I19:J19"/>
    <mergeCell ref="K19:L19"/>
    <mergeCell ref="C20:F20"/>
    <mergeCell ref="G20:H20"/>
    <mergeCell ref="I20:J20"/>
    <mergeCell ref="K20:L20"/>
    <mergeCell ref="C17:F17"/>
    <mergeCell ref="G17:H17"/>
    <mergeCell ref="I17:J17"/>
    <mergeCell ref="K17:L17"/>
    <mergeCell ref="C18:F18"/>
    <mergeCell ref="G18:H18"/>
    <mergeCell ref="I18:J18"/>
    <mergeCell ref="K18:L18"/>
    <mergeCell ref="C21:F21"/>
    <mergeCell ref="G21:H21"/>
    <mergeCell ref="I21:J21"/>
    <mergeCell ref="K21:L21"/>
    <mergeCell ref="A23:L23"/>
    <mergeCell ref="C626:I626"/>
    <mergeCell ref="J626:K626"/>
    <mergeCell ref="F106:G106"/>
    <mergeCell ref="F105:G105"/>
    <mergeCell ref="J99:K99"/>
    <mergeCell ref="G90:H90"/>
    <mergeCell ref="J84:K84"/>
    <mergeCell ref="G84:H84"/>
    <mergeCell ref="J78:K78"/>
    <mergeCell ref="G78:H78"/>
    <mergeCell ref="C627:I627"/>
    <mergeCell ref="J627:K627"/>
    <mergeCell ref="C628:I628"/>
    <mergeCell ref="J628:K628"/>
    <mergeCell ref="A27:L27"/>
    <mergeCell ref="F175:G175"/>
    <mergeCell ref="F174:G174"/>
    <mergeCell ref="A167:L167"/>
    <mergeCell ref="G163:H163"/>
    <mergeCell ref="J163:K163"/>
    <mergeCell ref="A163:F163"/>
    <mergeCell ref="J161:K161"/>
    <mergeCell ref="G161:H161"/>
    <mergeCell ref="J152:K152"/>
    <mergeCell ref="J45:K45"/>
    <mergeCell ref="G45:H45"/>
    <mergeCell ref="J36:K36"/>
    <mergeCell ref="G36:H36"/>
    <mergeCell ref="F34:G34"/>
    <mergeCell ref="F33:G33"/>
    <mergeCell ref="J69:K69"/>
    <mergeCell ref="G69:H69"/>
    <mergeCell ref="J61:K61"/>
    <mergeCell ref="G61:H61"/>
    <mergeCell ref="J52:K52"/>
    <mergeCell ref="G52:H52"/>
    <mergeCell ref="G99:H99"/>
    <mergeCell ref="J90:K90"/>
    <mergeCell ref="J115:K115"/>
    <mergeCell ref="G115:H115"/>
    <mergeCell ref="J108:K108"/>
    <mergeCell ref="G108:H108"/>
    <mergeCell ref="F254:G254"/>
    <mergeCell ref="F253:G253"/>
    <mergeCell ref="J246:K246"/>
    <mergeCell ref="G246:H246"/>
    <mergeCell ref="J234:K234"/>
    <mergeCell ref="G234:H234"/>
    <mergeCell ref="G152:H152"/>
    <mergeCell ref="J143:K143"/>
    <mergeCell ref="G143:H143"/>
    <mergeCell ref="J134:K134"/>
    <mergeCell ref="G134:H134"/>
    <mergeCell ref="J124:K124"/>
    <mergeCell ref="G124:H124"/>
    <mergeCell ref="J180:K180"/>
    <mergeCell ref="G180:H180"/>
    <mergeCell ref="G330:H330"/>
    <mergeCell ref="F316:G316"/>
    <mergeCell ref="F315:G315"/>
    <mergeCell ref="J308:K308"/>
    <mergeCell ref="G308:H308"/>
    <mergeCell ref="F302:G302"/>
    <mergeCell ref="F301:G301"/>
    <mergeCell ref="J295:K295"/>
    <mergeCell ref="J202:K202"/>
    <mergeCell ref="G202:H202"/>
    <mergeCell ref="J192:K192"/>
    <mergeCell ref="G192:H192"/>
    <mergeCell ref="F188:G188"/>
    <mergeCell ref="F187:G187"/>
    <mergeCell ref="J222:K222"/>
    <mergeCell ref="G222:H222"/>
    <mergeCell ref="F218:G218"/>
    <mergeCell ref="F217:G217"/>
    <mergeCell ref="J210:K210"/>
    <mergeCell ref="G210:H210"/>
    <mergeCell ref="F265:G265"/>
    <mergeCell ref="J258:K258"/>
    <mergeCell ref="G258:H258"/>
    <mergeCell ref="G295:H295"/>
    <mergeCell ref="F289:G289"/>
    <mergeCell ref="F288:G288"/>
    <mergeCell ref="J281:K281"/>
    <mergeCell ref="G281:H281"/>
    <mergeCell ref="F275:G275"/>
    <mergeCell ref="G388:H388"/>
    <mergeCell ref="J386:K386"/>
    <mergeCell ref="G386:H386"/>
    <mergeCell ref="J384:K384"/>
    <mergeCell ref="G384:H384"/>
    <mergeCell ref="F274:G274"/>
    <mergeCell ref="J268:K268"/>
    <mergeCell ref="G268:H268"/>
    <mergeCell ref="F266:G266"/>
    <mergeCell ref="J330:K330"/>
    <mergeCell ref="G482:H482"/>
    <mergeCell ref="J470:K470"/>
    <mergeCell ref="G470:H470"/>
    <mergeCell ref="J459:K459"/>
    <mergeCell ref="G459:H459"/>
    <mergeCell ref="J448:K448"/>
    <mergeCell ref="G448:H448"/>
    <mergeCell ref="J437:K437"/>
    <mergeCell ref="G437:H437"/>
    <mergeCell ref="F352:G352"/>
    <mergeCell ref="F351:G351"/>
    <mergeCell ref="J345:K345"/>
    <mergeCell ref="G345:H345"/>
    <mergeCell ref="F338:G338"/>
    <mergeCell ref="F337:G337"/>
    <mergeCell ref="F382:G382"/>
    <mergeCell ref="F381:G381"/>
    <mergeCell ref="J374:K374"/>
    <mergeCell ref="G374:H374"/>
    <mergeCell ref="J362:K362"/>
    <mergeCell ref="G362:H362"/>
    <mergeCell ref="A390:F390"/>
    <mergeCell ref="J388:K388"/>
    <mergeCell ref="J399:K399"/>
    <mergeCell ref="G399:H399"/>
    <mergeCell ref="A392:L392"/>
    <mergeCell ref="G390:H390"/>
    <mergeCell ref="J390:K390"/>
    <mergeCell ref="G558:H558"/>
    <mergeCell ref="J552:K552"/>
    <mergeCell ref="G552:H552"/>
    <mergeCell ref="A546:L546"/>
    <mergeCell ref="G544:H544"/>
    <mergeCell ref="J426:K426"/>
    <mergeCell ref="G426:H426"/>
    <mergeCell ref="J415:K415"/>
    <mergeCell ref="G415:H415"/>
    <mergeCell ref="J406:K406"/>
    <mergeCell ref="G406:H406"/>
    <mergeCell ref="J493:K493"/>
    <mergeCell ref="G493:H493"/>
    <mergeCell ref="J482:K482"/>
    <mergeCell ref="F610:G610"/>
    <mergeCell ref="F609:G609"/>
    <mergeCell ref="J603:K603"/>
    <mergeCell ref="G603:H603"/>
    <mergeCell ref="F598:G598"/>
    <mergeCell ref="F597:G597"/>
    <mergeCell ref="J590:K590"/>
    <mergeCell ref="J521:K521"/>
    <mergeCell ref="G521:H521"/>
    <mergeCell ref="J511:K511"/>
    <mergeCell ref="G511:H511"/>
    <mergeCell ref="J500:K500"/>
    <mergeCell ref="G500:H500"/>
    <mergeCell ref="J544:K544"/>
    <mergeCell ref="A544:F544"/>
    <mergeCell ref="J542:K542"/>
    <mergeCell ref="G542:H542"/>
    <mergeCell ref="J531:K531"/>
    <mergeCell ref="G531:H531"/>
    <mergeCell ref="G613:H613"/>
    <mergeCell ref="J558:K558"/>
    <mergeCell ref="G625:H625"/>
    <mergeCell ref="J625:K625"/>
    <mergeCell ref="A625:F625"/>
    <mergeCell ref="G624:H624"/>
    <mergeCell ref="J624:K624"/>
    <mergeCell ref="A624:F624"/>
    <mergeCell ref="J622:K622"/>
    <mergeCell ref="G622:H622"/>
    <mergeCell ref="J613:K613"/>
    <mergeCell ref="F575:G575"/>
    <mergeCell ref="A568:L568"/>
    <mergeCell ref="G566:H566"/>
    <mergeCell ref="J566:K566"/>
    <mergeCell ref="A566:F566"/>
    <mergeCell ref="J564:K564"/>
    <mergeCell ref="G564:H564"/>
    <mergeCell ref="G590:H590"/>
    <mergeCell ref="F586:G586"/>
    <mergeCell ref="F585:G585"/>
    <mergeCell ref="J580:K580"/>
    <mergeCell ref="G580:H580"/>
    <mergeCell ref="F576:G576"/>
  </mergeCells>
  <pageMargins left="0.4" right="0.2" top="0.4" bottom="0.4" header="0.2" footer="0.2"/>
  <pageSetup paperSize="9" scale="60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955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0" t="str">
        <f>Source!B1</f>
        <v>Smeta.RU  (495) 974-1589</v>
      </c>
    </row>
    <row r="2" spans="1:31" ht="15" x14ac:dyDescent="0.25">
      <c r="A2" s="26"/>
      <c r="B2" s="26"/>
      <c r="C2" s="26"/>
      <c r="D2" s="26"/>
      <c r="E2" s="110" t="s">
        <v>1091</v>
      </c>
      <c r="F2" s="110"/>
      <c r="G2" s="110"/>
      <c r="H2" s="110"/>
    </row>
    <row r="3" spans="1:31" ht="14.25" x14ac:dyDescent="0.2">
      <c r="A3" s="12"/>
      <c r="B3" s="12"/>
      <c r="C3" s="12"/>
      <c r="D3" s="12"/>
      <c r="E3" s="110" t="s">
        <v>1092</v>
      </c>
      <c r="F3" s="110"/>
      <c r="G3" s="110"/>
      <c r="H3" s="110"/>
    </row>
    <row r="4" spans="1:31" ht="14.25" x14ac:dyDescent="0.2">
      <c r="A4" s="12"/>
      <c r="B4" s="12"/>
      <c r="C4" s="12"/>
      <c r="D4" s="12"/>
      <c r="E4" s="110" t="s">
        <v>1093</v>
      </c>
      <c r="F4" s="110"/>
      <c r="G4" s="110"/>
      <c r="H4" s="110"/>
    </row>
    <row r="5" spans="1:31" ht="14.25" x14ac:dyDescent="0.2">
      <c r="A5" s="12"/>
      <c r="B5" s="12"/>
      <c r="C5" s="12"/>
      <c r="D5" s="12"/>
      <c r="E5" s="12"/>
      <c r="F5" s="12"/>
      <c r="G5" s="12"/>
      <c r="H5" s="12"/>
    </row>
    <row r="6" spans="1:31" ht="14.25" x14ac:dyDescent="0.2">
      <c r="A6" s="12"/>
      <c r="B6" s="12"/>
      <c r="C6" s="12"/>
      <c r="D6" s="12"/>
      <c r="E6" s="12"/>
      <c r="F6" s="12"/>
      <c r="G6" s="101" t="s">
        <v>1094</v>
      </c>
      <c r="H6" s="102"/>
    </row>
    <row r="7" spans="1:31" ht="14.25" x14ac:dyDescent="0.2">
      <c r="A7" s="12"/>
      <c r="B7" s="12"/>
      <c r="C7" s="12"/>
      <c r="D7" s="12"/>
      <c r="E7" s="12"/>
      <c r="F7" s="11" t="s">
        <v>1095</v>
      </c>
      <c r="G7" s="111" t="s">
        <v>1096</v>
      </c>
      <c r="H7" s="102"/>
    </row>
    <row r="8" spans="1:31" ht="14.25" x14ac:dyDescent="0.2">
      <c r="A8" s="12"/>
      <c r="B8" s="12"/>
      <c r="C8" s="12"/>
      <c r="D8" s="12"/>
      <c r="E8" s="12"/>
      <c r="F8" s="12"/>
      <c r="G8" s="101" t="str">
        <f>IF(Source!AT15 &lt;&gt; "", Source!AT15, "")</f>
        <v/>
      </c>
      <c r="H8" s="102"/>
    </row>
    <row r="9" spans="1:31" ht="14.25" x14ac:dyDescent="0.2">
      <c r="A9" s="12" t="s">
        <v>1097</v>
      </c>
      <c r="B9" s="12"/>
      <c r="C9" s="107" t="str">
        <f>IF(Source!BA15 &lt;&gt; "", Source!BA15, IF(Source!AU15 &lt;&gt; "", Source!AU15, ""))</f>
        <v/>
      </c>
      <c r="D9" s="107"/>
      <c r="E9" s="107"/>
      <c r="F9" s="11" t="s">
        <v>1098</v>
      </c>
      <c r="G9" s="105"/>
      <c r="H9" s="106"/>
    </row>
    <row r="10" spans="1:31" ht="14.25" x14ac:dyDescent="0.2">
      <c r="A10" s="12"/>
      <c r="B10" s="12"/>
      <c r="C10" s="99" t="s">
        <v>1099</v>
      </c>
      <c r="D10" s="99"/>
      <c r="E10" s="99"/>
      <c r="F10" s="12"/>
      <c r="G10" s="101" t="str">
        <f>IF(Source!AK15 &lt;&gt; "", Source!AK15, "")</f>
        <v/>
      </c>
      <c r="H10" s="102"/>
    </row>
    <row r="11" spans="1:31" ht="14.25" x14ac:dyDescent="0.2">
      <c r="A11" s="12" t="s">
        <v>1100</v>
      </c>
      <c r="B11" s="12"/>
      <c r="C11" s="107" t="str">
        <f>IF(Source!AX12&lt;&gt; "", Source!AX12, IF(Source!AJ12 &lt;&gt; "", Source!AJ12, ""))</f>
        <v/>
      </c>
      <c r="D11" s="107"/>
      <c r="E11" s="107"/>
      <c r="F11" s="11" t="s">
        <v>1098</v>
      </c>
      <c r="G11" s="105"/>
      <c r="H11" s="106"/>
    </row>
    <row r="12" spans="1:31" ht="14.25" x14ac:dyDescent="0.2">
      <c r="A12" s="12"/>
      <c r="B12" s="12"/>
      <c r="C12" s="99" t="s">
        <v>1099</v>
      </c>
      <c r="D12" s="99"/>
      <c r="E12" s="99"/>
      <c r="F12" s="12"/>
      <c r="G12" s="101" t="str">
        <f>IF(Source!AO15 &lt;&gt; "", Source!AO15, "")</f>
        <v/>
      </c>
      <c r="H12" s="102"/>
    </row>
    <row r="13" spans="1:31" ht="14.25" x14ac:dyDescent="0.2">
      <c r="A13" s="12" t="s">
        <v>1101</v>
      </c>
      <c r="B13" s="12"/>
      <c r="C13" s="107" t="str">
        <f>IF(Source!AY12&lt;&gt; "", Source!AY12, IF(Source!AN12 &lt;&gt; "", Source!AN12, ""))</f>
        <v/>
      </c>
      <c r="D13" s="107"/>
      <c r="E13" s="107"/>
      <c r="F13" s="11" t="s">
        <v>1098</v>
      </c>
      <c r="G13" s="105"/>
      <c r="H13" s="106"/>
    </row>
    <row r="14" spans="1:31" ht="14.25" x14ac:dyDescent="0.2">
      <c r="A14" s="12"/>
      <c r="B14" s="12"/>
      <c r="C14" s="99" t="s">
        <v>1099</v>
      </c>
      <c r="D14" s="99"/>
      <c r="E14" s="99"/>
      <c r="F14" s="12"/>
      <c r="G14" s="101" t="str">
        <f>IF(Source!CO15 &lt;&gt; "", Source!CO15, "")</f>
        <v/>
      </c>
      <c r="H14" s="102"/>
    </row>
    <row r="15" spans="1:31" ht="28.5" x14ac:dyDescent="0.2">
      <c r="A15" s="12" t="s">
        <v>1102</v>
      </c>
      <c r="B15" s="12"/>
      <c r="C15" s="107" t="s">
        <v>5</v>
      </c>
      <c r="D15" s="107"/>
      <c r="E15" s="107"/>
      <c r="F15" s="12"/>
      <c r="G15" s="105"/>
      <c r="H15" s="106"/>
      <c r="AE15" s="28" t="s">
        <v>5</v>
      </c>
    </row>
    <row r="16" spans="1:31" ht="14.25" x14ac:dyDescent="0.2">
      <c r="A16" s="12"/>
      <c r="B16" s="12"/>
      <c r="C16" s="99" t="s">
        <v>1103</v>
      </c>
      <c r="D16" s="99"/>
      <c r="E16" s="99"/>
      <c r="F16" s="12"/>
      <c r="G16" s="101" t="str">
        <f>IF(Source!CP15 &lt;&gt; "", Source!CP15, "")</f>
        <v/>
      </c>
      <c r="H16" s="102"/>
    </row>
    <row r="17" spans="1:31" ht="42.75" x14ac:dyDescent="0.2">
      <c r="A17" s="12" t="s">
        <v>1104</v>
      </c>
      <c r="B17" s="12"/>
      <c r="C17" s="107" t="str">
        <f>IF(Source!G12&lt;&gt;"Новый объект", Source!G12, "")</f>
        <v>на ремонт помещений № 2- № 8, № 10 2-го этажа здания корпуса 30  НИЯУ МИФИ по адресу: г. Москва, Каширское шоссе, д. 31 стр. 7</v>
      </c>
      <c r="D17" s="107"/>
      <c r="E17" s="107"/>
      <c r="F17" s="12"/>
      <c r="G17" s="108"/>
      <c r="H17" s="109"/>
      <c r="AE17" s="28" t="str">
        <f>IF(Source!G12&lt;&gt;"Новый объект", Source!G12, "")</f>
        <v>на ремонт помещений № 2- № 8, № 10 2-го этажа здания корпуса 30  НИЯУ МИФИ по адресу: г. Москва, Каширское шоссе, д. 31 стр. 7</v>
      </c>
    </row>
    <row r="18" spans="1:31" ht="14.25" x14ac:dyDescent="0.2">
      <c r="A18" s="12"/>
      <c r="B18" s="12"/>
      <c r="C18" s="99" t="s">
        <v>1105</v>
      </c>
      <c r="D18" s="99"/>
      <c r="E18" s="99"/>
      <c r="F18" s="12"/>
      <c r="G18" s="12"/>
      <c r="H18" s="12"/>
    </row>
    <row r="19" spans="1:31" ht="14.25" x14ac:dyDescent="0.2">
      <c r="A19" s="12"/>
      <c r="B19" s="12"/>
      <c r="C19" s="12"/>
      <c r="D19" s="79" t="s">
        <v>1106</v>
      </c>
      <c r="E19" s="79"/>
      <c r="F19" s="100"/>
      <c r="G19" s="101" t="str">
        <f>IF(Source!CQ15 &lt;&gt; "", Source!CQ15, "")</f>
        <v/>
      </c>
      <c r="H19" s="102"/>
    </row>
    <row r="20" spans="1:31" ht="14.25" x14ac:dyDescent="0.2">
      <c r="A20" s="12"/>
      <c r="B20" s="12"/>
      <c r="C20" s="12"/>
      <c r="D20" s="79" t="s">
        <v>1107</v>
      </c>
      <c r="E20" s="100"/>
      <c r="F20" s="51" t="s">
        <v>1108</v>
      </c>
      <c r="G20" s="101" t="str">
        <f>IF(Source!CR15 &lt;&gt; "", Source!CR15, "")</f>
        <v/>
      </c>
      <c r="H20" s="102"/>
    </row>
    <row r="21" spans="1:31" ht="14.25" x14ac:dyDescent="0.2">
      <c r="A21" s="12"/>
      <c r="B21" s="12"/>
      <c r="C21" s="12"/>
      <c r="D21" s="12"/>
      <c r="E21" s="12"/>
      <c r="F21" s="20" t="s">
        <v>1109</v>
      </c>
      <c r="G21" s="103" t="str">
        <f>IF(Source!CS15 &lt;&gt; 0, Source!CS15, "")</f>
        <v/>
      </c>
      <c r="H21" s="104"/>
    </row>
    <row r="22" spans="1:31" ht="14.25" x14ac:dyDescent="0.2">
      <c r="A22" s="12"/>
      <c r="B22" s="12"/>
      <c r="C22" s="12"/>
      <c r="D22" s="12"/>
      <c r="E22" s="12"/>
      <c r="F22" s="11" t="s">
        <v>1110</v>
      </c>
      <c r="G22" s="91" t="str">
        <f>IF(Source!CT15 &lt;&gt; "", Source!CT15, "")</f>
        <v/>
      </c>
      <c r="H22" s="92"/>
    </row>
    <row r="23" spans="1:31" ht="14.25" x14ac:dyDescent="0.2">
      <c r="A23" s="12"/>
      <c r="B23" s="12"/>
      <c r="C23" s="12"/>
      <c r="D23" s="12"/>
      <c r="E23" s="12"/>
      <c r="F23" s="12"/>
      <c r="G23" s="12"/>
      <c r="H23" s="12"/>
    </row>
    <row r="24" spans="1:31" ht="14.25" x14ac:dyDescent="0.2">
      <c r="A24" s="12"/>
      <c r="B24" s="12"/>
      <c r="C24" s="12"/>
      <c r="D24" s="93" t="s">
        <v>1111</v>
      </c>
      <c r="E24" s="95" t="s">
        <v>1112</v>
      </c>
      <c r="F24" s="95" t="s">
        <v>1113</v>
      </c>
      <c r="G24" s="97"/>
      <c r="H24" s="12"/>
    </row>
    <row r="25" spans="1:31" ht="14.25" x14ac:dyDescent="0.2">
      <c r="A25" s="12"/>
      <c r="B25" s="12"/>
      <c r="C25" s="12"/>
      <c r="D25" s="94"/>
      <c r="E25" s="96"/>
      <c r="F25" s="52" t="s">
        <v>1114</v>
      </c>
      <c r="G25" s="53" t="s">
        <v>1115</v>
      </c>
      <c r="H25" s="12"/>
    </row>
    <row r="26" spans="1:31" ht="14.25" x14ac:dyDescent="0.2">
      <c r="A26" s="12"/>
      <c r="B26" s="12"/>
      <c r="C26" s="12"/>
      <c r="D26" s="54" t="str">
        <f>IF(Source!CN15 &lt;&gt; "", Source!CN15, "")</f>
        <v/>
      </c>
      <c r="E26" s="55">
        <v>43390.58016203704</v>
      </c>
      <c r="F26" s="54"/>
      <c r="G26" s="56"/>
      <c r="H26" s="12"/>
    </row>
    <row r="27" spans="1:31" ht="14.25" x14ac:dyDescent="0.2">
      <c r="A27" s="12"/>
      <c r="B27" s="12"/>
      <c r="C27" s="12"/>
      <c r="D27" s="12"/>
      <c r="E27" s="12"/>
      <c r="F27" s="12"/>
      <c r="G27" s="12"/>
      <c r="H27" s="12"/>
    </row>
    <row r="28" spans="1:31" ht="18" x14ac:dyDescent="0.25">
      <c r="A28" s="98" t="s">
        <v>1116</v>
      </c>
      <c r="B28" s="98"/>
      <c r="C28" s="98"/>
      <c r="D28" s="98"/>
      <c r="E28" s="98"/>
      <c r="F28" s="98"/>
      <c r="G28" s="98"/>
      <c r="H28" s="98"/>
    </row>
    <row r="29" spans="1:31" ht="18" x14ac:dyDescent="0.25">
      <c r="A29" s="98" t="s">
        <v>1117</v>
      </c>
      <c r="B29" s="98"/>
      <c r="C29" s="98"/>
      <c r="D29" s="98"/>
      <c r="E29" s="98"/>
      <c r="F29" s="98"/>
      <c r="G29" s="98"/>
      <c r="H29" s="98"/>
    </row>
    <row r="30" spans="1:31" ht="14.25" x14ac:dyDescent="0.2">
      <c r="A30" s="12"/>
      <c r="B30" s="12"/>
      <c r="C30" s="12"/>
      <c r="D30" s="12"/>
      <c r="E30" s="12"/>
      <c r="F30" s="12"/>
      <c r="G30" s="12"/>
      <c r="H30" s="12"/>
    </row>
    <row r="31" spans="1:31" ht="15" x14ac:dyDescent="0.25">
      <c r="A31" s="9" t="s">
        <v>1118</v>
      </c>
      <c r="B31" s="12"/>
      <c r="C31" s="12"/>
      <c r="D31" s="12"/>
      <c r="E31" s="12"/>
      <c r="F31" s="89">
        <f>(Source!F388/1000)</f>
        <v>1148.6723200000001</v>
      </c>
      <c r="G31" s="89"/>
      <c r="H31" s="12" t="s">
        <v>1119</v>
      </c>
    </row>
    <row r="32" spans="1:31" ht="14.25" x14ac:dyDescent="0.2">
      <c r="A32" s="12"/>
      <c r="B32" s="12"/>
      <c r="C32" s="12"/>
      <c r="D32" s="12"/>
      <c r="E32" s="12"/>
      <c r="F32" s="12"/>
      <c r="G32" s="12"/>
      <c r="H32" s="12"/>
    </row>
    <row r="33" spans="1:28" ht="14.25" x14ac:dyDescent="0.2">
      <c r="A33" s="90" t="s">
        <v>1120</v>
      </c>
      <c r="B33" s="90"/>
      <c r="C33" s="90" t="s">
        <v>1121</v>
      </c>
      <c r="D33" s="90" t="s">
        <v>1122</v>
      </c>
      <c r="E33" s="90" t="s">
        <v>1123</v>
      </c>
      <c r="F33" s="90" t="s">
        <v>1124</v>
      </c>
      <c r="G33" s="90"/>
      <c r="H33" s="90"/>
    </row>
    <row r="34" spans="1:28" ht="57" x14ac:dyDescent="0.2">
      <c r="A34" s="19" t="s">
        <v>1125</v>
      </c>
      <c r="B34" s="19" t="s">
        <v>1126</v>
      </c>
      <c r="C34" s="90"/>
      <c r="D34" s="90"/>
      <c r="E34" s="90"/>
      <c r="F34" s="19" t="s">
        <v>1127</v>
      </c>
      <c r="G34" s="19" t="s">
        <v>1128</v>
      </c>
      <c r="H34" s="19" t="s">
        <v>1129</v>
      </c>
    </row>
    <row r="35" spans="1:28" ht="14.25" x14ac:dyDescent="0.2">
      <c r="A35" s="19">
        <v>1</v>
      </c>
      <c r="B35" s="19">
        <v>2</v>
      </c>
      <c r="C35" s="19">
        <v>3</v>
      </c>
      <c r="D35" s="19">
        <v>4</v>
      </c>
      <c r="E35" s="19">
        <v>5</v>
      </c>
      <c r="F35" s="19">
        <v>6</v>
      </c>
      <c r="G35" s="19">
        <v>7</v>
      </c>
      <c r="H35" s="19">
        <v>8</v>
      </c>
    </row>
    <row r="37" spans="1:28" ht="16.5" x14ac:dyDescent="0.25">
      <c r="A37" s="74" t="str">
        <f>CONCATENATE("Локальная смета: ",IF(Source!G20&lt;&gt;"Новая локальная смета", Source!G20, ""))</f>
        <v xml:space="preserve">Локальная смета: </v>
      </c>
      <c r="B37" s="74"/>
      <c r="C37" s="74"/>
      <c r="D37" s="74"/>
      <c r="E37" s="74"/>
      <c r="F37" s="74"/>
      <c r="G37" s="74"/>
      <c r="H37" s="74"/>
    </row>
    <row r="39" spans="1:28" ht="16.5" x14ac:dyDescent="0.25">
      <c r="A39" s="74" t="str">
        <f>CONCATENATE("Раздел: ",IF(Source!G24&lt;&gt;"Новый раздел", Source!G24, ""))</f>
        <v>Раздел: Демонтаж</v>
      </c>
      <c r="B39" s="74"/>
      <c r="C39" s="74"/>
      <c r="D39" s="74"/>
      <c r="E39" s="74"/>
      <c r="F39" s="74"/>
      <c r="G39" s="74"/>
      <c r="H39" s="74"/>
    </row>
    <row r="40" spans="1:28" ht="28.5" x14ac:dyDescent="0.2">
      <c r="A40" s="46">
        <v>1</v>
      </c>
      <c r="B40" s="46" t="str">
        <f>Source!E28</f>
        <v>1</v>
      </c>
      <c r="C40" s="46" t="str">
        <f>Source!G28</f>
        <v>Разборка деревянных заполнений проемов дверных и воротных</v>
      </c>
      <c r="D40" s="46" t="str">
        <f>Source!F28</f>
        <v>46-04-012-03</v>
      </c>
      <c r="E40" s="31" t="str">
        <f>Source!H28</f>
        <v>100 м2</v>
      </c>
      <c r="F40" s="12">
        <f>Source!I28</f>
        <v>9.4500000000000001E-2</v>
      </c>
      <c r="G40" s="22">
        <f>Source!AB28</f>
        <v>1082.58</v>
      </c>
      <c r="H40" s="22">
        <f>Source!O28</f>
        <v>686.46</v>
      </c>
      <c r="T40">
        <f>Source!O28+Source!X28+Source!Y28</f>
        <v>1639.35</v>
      </c>
      <c r="U40">
        <f>Source!P28</f>
        <v>0</v>
      </c>
      <c r="V40">
        <f>Source!S28</f>
        <v>533.04</v>
      </c>
      <c r="W40">
        <f>Source!Q28</f>
        <v>153.41999999999999</v>
      </c>
      <c r="X40">
        <f>Source!R28</f>
        <v>66.260000000000005</v>
      </c>
      <c r="Y40">
        <f>Source!U28</f>
        <v>9.8194949999999999</v>
      </c>
      <c r="Z40">
        <f>Source!V28</f>
        <v>0.73143000000000002</v>
      </c>
      <c r="AA40">
        <f>Source!X28</f>
        <v>593.30999999999995</v>
      </c>
      <c r="AB40">
        <f>Source!Y28</f>
        <v>359.58</v>
      </c>
    </row>
    <row r="41" spans="1:28" ht="14.25" x14ac:dyDescent="0.2">
      <c r="C41" s="23" t="str">
        <f>"Объем: "&amp;Source!I28&amp;"=9,45/"&amp;"100"</f>
        <v>Объем: 0,0945=9,45/100</v>
      </c>
      <c r="F41" s="12"/>
      <c r="G41" s="12"/>
      <c r="H41" s="12"/>
    </row>
    <row r="42" spans="1:28" x14ac:dyDescent="0.2">
      <c r="C42" s="23" t="s">
        <v>1130</v>
      </c>
      <c r="D42" s="23">
        <f>Source!BA28</f>
        <v>6.71</v>
      </c>
    </row>
    <row r="43" spans="1:28" x14ac:dyDescent="0.2">
      <c r="C43" s="23" t="s">
        <v>1131</v>
      </c>
      <c r="D43" s="23">
        <f>Source!BB28</f>
        <v>6.71</v>
      </c>
    </row>
    <row r="44" spans="1:28" x14ac:dyDescent="0.2">
      <c r="C44" s="23" t="s">
        <v>1132</v>
      </c>
      <c r="D44" s="23">
        <f>Source!BC28</f>
        <v>6.71</v>
      </c>
    </row>
    <row r="45" spans="1:28" x14ac:dyDescent="0.2">
      <c r="C45" s="23" t="s">
        <v>1133</v>
      </c>
      <c r="D45" s="23">
        <f>Source!BS28</f>
        <v>6.71</v>
      </c>
    </row>
    <row r="46" spans="1:28" x14ac:dyDescent="0.2">
      <c r="C46" s="9" t="s">
        <v>1134</v>
      </c>
      <c r="D46" s="34"/>
      <c r="E46" s="34"/>
      <c r="F46" s="34">
        <f>Source!BZ28</f>
        <v>110</v>
      </c>
      <c r="G46" s="57">
        <f>(Source!AF28+Source!AE28)*Source!FX28/100</f>
        <v>935.66880000000003</v>
      </c>
      <c r="H46" s="57">
        <f>Source!X28</f>
        <v>593.30999999999995</v>
      </c>
    </row>
    <row r="47" spans="1:28" x14ac:dyDescent="0.2">
      <c r="C47" s="9" t="s">
        <v>1135</v>
      </c>
      <c r="D47" s="34"/>
      <c r="E47" s="34"/>
      <c r="F47" s="34"/>
      <c r="G47" s="34" t="str">
        <f>CONCATENATE(Source!DL28,Source!FT28, "=", Source!FX28, "%")</f>
        <v>*0,9=99%</v>
      </c>
      <c r="H47" s="34" t="str">
        <f>CONCATENATE(Source!AT28)</f>
        <v>99</v>
      </c>
    </row>
    <row r="48" spans="1:28" x14ac:dyDescent="0.2">
      <c r="C48" s="9" t="s">
        <v>1136</v>
      </c>
      <c r="D48" s="34"/>
      <c r="E48" s="34"/>
      <c r="F48" s="34">
        <f>Source!CA28</f>
        <v>70</v>
      </c>
      <c r="G48" s="57">
        <f>(Source!AF28+Source!AE28)*Source!FY28/100</f>
        <v>562.34640000000002</v>
      </c>
      <c r="H48" s="57">
        <f>Source!Y28</f>
        <v>359.58</v>
      </c>
    </row>
    <row r="49" spans="1:28" x14ac:dyDescent="0.2">
      <c r="C49" s="9" t="s">
        <v>1137</v>
      </c>
      <c r="D49" s="34"/>
      <c r="E49" s="34"/>
      <c r="F49" s="34"/>
      <c r="G49" s="34" t="str">
        <f>CONCATENATE(Source!DM28,Source!FU28, "=", Source!FY28, "%")</f>
        <v>*0,85=59,5%</v>
      </c>
      <c r="H49" s="34" t="str">
        <f>CONCATENATE(Source!AU28)</f>
        <v>60</v>
      </c>
    </row>
    <row r="50" spans="1:28" x14ac:dyDescent="0.2">
      <c r="C50" s="9" t="s">
        <v>1138</v>
      </c>
      <c r="D50" s="34"/>
      <c r="E50" s="34"/>
      <c r="F50" s="34"/>
      <c r="G50" s="57">
        <f>((Source!AF28+Source!AE28)*Source!FX28/100)+((Source!AF28+Source!AE28)*Source!FY28/100)+Source!AB28</f>
        <v>2580.5951999999997</v>
      </c>
      <c r="H50" s="57">
        <f>Source!O28+Source!X28+Source!Y28</f>
        <v>1639.35</v>
      </c>
    </row>
    <row r="51" spans="1:28" ht="28.5" x14ac:dyDescent="0.2">
      <c r="A51" s="46">
        <v>2</v>
      </c>
      <c r="B51" s="46" t="str">
        <f>Source!E29</f>
        <v>2</v>
      </c>
      <c r="C51" s="46" t="str">
        <f>Source!G29</f>
        <v>Демонтаж светильников для люминесцентных ламп (прим.)</v>
      </c>
      <c r="D51" s="46" t="str">
        <f>Source!F29</f>
        <v>67-4-5</v>
      </c>
      <c r="E51" s="31" t="str">
        <f>Source!H29</f>
        <v>100 ШТ</v>
      </c>
      <c r="F51" s="12">
        <f>Source!I29</f>
        <v>0.48</v>
      </c>
      <c r="G51" s="22">
        <f>Source!AB29</f>
        <v>145.97999999999999</v>
      </c>
      <c r="H51" s="22">
        <f>Source!O29</f>
        <v>470.17</v>
      </c>
      <c r="T51">
        <f>Source!O29+Source!X29+Source!Y29</f>
        <v>1168.5700000000002</v>
      </c>
      <c r="U51">
        <f>Source!P29</f>
        <v>0</v>
      </c>
      <c r="V51">
        <f>Source!S29</f>
        <v>462.12</v>
      </c>
      <c r="W51">
        <f>Source!Q29</f>
        <v>8.0500000000000007</v>
      </c>
      <c r="X51">
        <f>Source!R29</f>
        <v>3.48</v>
      </c>
      <c r="Y51">
        <f>Source!U29</f>
        <v>8.5871999999999993</v>
      </c>
      <c r="Z51">
        <f>Source!V29</f>
        <v>3.8399999999999997E-2</v>
      </c>
      <c r="AA51">
        <f>Source!X29</f>
        <v>395.76</v>
      </c>
      <c r="AB51">
        <f>Source!Y29</f>
        <v>302.64</v>
      </c>
    </row>
    <row r="52" spans="1:28" ht="14.25" x14ac:dyDescent="0.2">
      <c r="C52" s="23" t="str">
        <f>"Объем: "&amp;Source!I29&amp;"=48/"&amp;"100"</f>
        <v>Объем: 0,48=48/100</v>
      </c>
      <c r="F52" s="12"/>
      <c r="G52" s="12"/>
      <c r="H52" s="12"/>
    </row>
    <row r="53" spans="1:28" x14ac:dyDescent="0.2">
      <c r="C53" s="23" t="s">
        <v>1130</v>
      </c>
      <c r="D53" s="23">
        <f>Source!BA29</f>
        <v>6.71</v>
      </c>
    </row>
    <row r="54" spans="1:28" x14ac:dyDescent="0.2">
      <c r="C54" s="23" t="s">
        <v>1131</v>
      </c>
      <c r="D54" s="23">
        <f>Source!BB29</f>
        <v>6.71</v>
      </c>
    </row>
    <row r="55" spans="1:28" x14ac:dyDescent="0.2">
      <c r="C55" s="23" t="s">
        <v>1132</v>
      </c>
      <c r="D55" s="23">
        <f>Source!BC29</f>
        <v>6.71</v>
      </c>
    </row>
    <row r="56" spans="1:28" x14ac:dyDescent="0.2">
      <c r="C56" s="23" t="s">
        <v>1133</v>
      </c>
      <c r="D56" s="23">
        <f>Source!BS29</f>
        <v>6.71</v>
      </c>
    </row>
    <row r="57" spans="1:28" x14ac:dyDescent="0.2">
      <c r="C57" s="9" t="s">
        <v>1134</v>
      </c>
      <c r="D57" s="34"/>
      <c r="E57" s="34"/>
      <c r="F57" s="34">
        <f>Source!BZ29</f>
        <v>85</v>
      </c>
      <c r="G57" s="57">
        <f>(Source!AF29+Source!AE29)*Source!FX29/100</f>
        <v>122.876</v>
      </c>
      <c r="H57" s="57">
        <f>Source!X29</f>
        <v>395.76</v>
      </c>
    </row>
    <row r="58" spans="1:28" x14ac:dyDescent="0.2">
      <c r="C58" s="9" t="s">
        <v>1136</v>
      </c>
      <c r="D58" s="34"/>
      <c r="E58" s="34"/>
      <c r="F58" s="34">
        <f>Source!CA29</f>
        <v>65</v>
      </c>
      <c r="G58" s="57">
        <f>(Source!AF29+Source!AE29)*Source!FY29/100</f>
        <v>93.963999999999999</v>
      </c>
      <c r="H58" s="57">
        <f>Source!Y29</f>
        <v>302.64</v>
      </c>
    </row>
    <row r="59" spans="1:28" x14ac:dyDescent="0.2">
      <c r="C59" s="9" t="s">
        <v>1138</v>
      </c>
      <c r="D59" s="34"/>
      <c r="E59" s="34"/>
      <c r="F59" s="34"/>
      <c r="G59" s="57">
        <f>((Source!AF29+Source!AE29)*Source!FX29/100)+((Source!AF29+Source!AE29)*Source!FY29/100)+Source!AB29</f>
        <v>362.82</v>
      </c>
      <c r="H59" s="57">
        <f>Source!O29+Source!X29+Source!Y29</f>
        <v>1168.5700000000002</v>
      </c>
    </row>
    <row r="60" spans="1:28" ht="14.25" x14ac:dyDescent="0.2">
      <c r="A60" s="46">
        <v>3</v>
      </c>
      <c r="B60" s="46" t="str">
        <f>Source!E30</f>
        <v>3</v>
      </c>
      <c r="C60" s="46" t="str">
        <f>Source!G30</f>
        <v>Демонтаж выключателей, розеток</v>
      </c>
      <c r="D60" s="46" t="str">
        <f>Source!F30</f>
        <v>67-4-1</v>
      </c>
      <c r="E60" s="31" t="str">
        <f>Source!H30</f>
        <v>100 ШТ</v>
      </c>
      <c r="F60" s="12">
        <f>Source!I30</f>
        <v>0.46</v>
      </c>
      <c r="G60" s="22">
        <f>Source!AB30</f>
        <v>45.55</v>
      </c>
      <c r="H60" s="22">
        <f>Source!O30</f>
        <v>140.59</v>
      </c>
      <c r="T60">
        <f>Source!O30+Source!X30+Source!Y30</f>
        <v>351.47</v>
      </c>
      <c r="U60">
        <f>Source!P30</f>
        <v>0</v>
      </c>
      <c r="V60">
        <f>Source!S30</f>
        <v>140.59</v>
      </c>
      <c r="W60">
        <f>Source!Q30</f>
        <v>0</v>
      </c>
      <c r="X60">
        <f>Source!R30</f>
        <v>0</v>
      </c>
      <c r="Y60">
        <f>Source!U30</f>
        <v>2.6863999999999999</v>
      </c>
      <c r="Z60">
        <f>Source!V30</f>
        <v>0</v>
      </c>
      <c r="AA60">
        <f>Source!X30</f>
        <v>119.5</v>
      </c>
      <c r="AB60">
        <f>Source!Y30</f>
        <v>91.38</v>
      </c>
    </row>
    <row r="61" spans="1:28" ht="14.25" x14ac:dyDescent="0.2">
      <c r="C61" s="23" t="str">
        <f>"Объем: "&amp;Source!I30&amp;"=46/"&amp;"100"</f>
        <v>Объем: 0,46=46/100</v>
      </c>
      <c r="F61" s="12"/>
      <c r="G61" s="12"/>
      <c r="H61" s="12"/>
    </row>
    <row r="62" spans="1:28" x14ac:dyDescent="0.2">
      <c r="C62" s="23" t="s">
        <v>1130</v>
      </c>
      <c r="D62" s="23">
        <f>Source!BA30</f>
        <v>6.71</v>
      </c>
    </row>
    <row r="63" spans="1:28" x14ac:dyDescent="0.2">
      <c r="C63" s="23" t="s">
        <v>1131</v>
      </c>
      <c r="D63" s="23">
        <f>Source!BB30</f>
        <v>6.71</v>
      </c>
    </row>
    <row r="64" spans="1:28" x14ac:dyDescent="0.2">
      <c r="C64" s="23" t="s">
        <v>1132</v>
      </c>
      <c r="D64" s="23">
        <f>Source!BC30</f>
        <v>6.71</v>
      </c>
    </row>
    <row r="65" spans="1:28" x14ac:dyDescent="0.2">
      <c r="C65" s="23" t="s">
        <v>1133</v>
      </c>
      <c r="D65" s="23">
        <f>Source!BS30</f>
        <v>6.71</v>
      </c>
    </row>
    <row r="66" spans="1:28" x14ac:dyDescent="0.2">
      <c r="C66" s="9" t="s">
        <v>1134</v>
      </c>
      <c r="D66" s="34"/>
      <c r="E66" s="34"/>
      <c r="F66" s="34">
        <f>Source!BZ30</f>
        <v>85</v>
      </c>
      <c r="G66" s="57">
        <f>(Source!AF30+Source!AE30)*Source!FX30/100</f>
        <v>38.717499999999994</v>
      </c>
      <c r="H66" s="57">
        <f>Source!X30</f>
        <v>119.5</v>
      </c>
    </row>
    <row r="67" spans="1:28" x14ac:dyDescent="0.2">
      <c r="C67" s="9" t="s">
        <v>1136</v>
      </c>
      <c r="D67" s="34"/>
      <c r="E67" s="34"/>
      <c r="F67" s="34">
        <f>Source!CA30</f>
        <v>65</v>
      </c>
      <c r="G67" s="57">
        <f>(Source!AF30+Source!AE30)*Source!FY30/100</f>
        <v>29.607500000000002</v>
      </c>
      <c r="H67" s="57">
        <f>Source!Y30</f>
        <v>91.38</v>
      </c>
    </row>
    <row r="68" spans="1:28" x14ac:dyDescent="0.2">
      <c r="C68" s="9" t="s">
        <v>1138</v>
      </c>
      <c r="D68" s="34"/>
      <c r="E68" s="34"/>
      <c r="F68" s="34"/>
      <c r="G68" s="57">
        <f>((Source!AF30+Source!AE30)*Source!FX30/100)+((Source!AF30+Source!AE30)*Source!FY30/100)+Source!AB30</f>
        <v>113.87499999999999</v>
      </c>
      <c r="H68" s="57">
        <f>Source!O30+Source!X30+Source!Y30</f>
        <v>351.47</v>
      </c>
    </row>
    <row r="69" spans="1:28" ht="14.25" x14ac:dyDescent="0.2">
      <c r="A69" s="46">
        <v>4</v>
      </c>
      <c r="B69" s="46" t="str">
        <f>Source!E31</f>
        <v>4</v>
      </c>
      <c r="C69" s="46" t="str">
        <f>Source!G31</f>
        <v>Демонтаж кабеля</v>
      </c>
      <c r="D69" s="46" t="str">
        <f>Source!F31</f>
        <v>67-3-1</v>
      </c>
      <c r="E69" s="31" t="str">
        <f>Source!H31</f>
        <v>100 м</v>
      </c>
      <c r="F69" s="12">
        <f>Source!I31</f>
        <v>1.1499999999999999</v>
      </c>
      <c r="G69" s="22">
        <f>Source!AB31</f>
        <v>75.5</v>
      </c>
      <c r="H69" s="22">
        <f>Source!O31</f>
        <v>582.59</v>
      </c>
      <c r="T69">
        <f>Source!O31+Source!X31+Source!Y31</f>
        <v>1454.51</v>
      </c>
      <c r="U69">
        <f>Source!P31</f>
        <v>0</v>
      </c>
      <c r="V69">
        <f>Source!S31</f>
        <v>580.20000000000005</v>
      </c>
      <c r="W69">
        <f>Source!Q31</f>
        <v>2.39</v>
      </c>
      <c r="X69">
        <f>Source!R31</f>
        <v>1.08</v>
      </c>
      <c r="Y69">
        <f>Source!U31</f>
        <v>11.086</v>
      </c>
      <c r="Z69">
        <f>Source!V31</f>
        <v>1.15E-2</v>
      </c>
      <c r="AA69">
        <f>Source!X31</f>
        <v>494.09</v>
      </c>
      <c r="AB69">
        <f>Source!Y31</f>
        <v>377.83</v>
      </c>
    </row>
    <row r="70" spans="1:28" ht="14.25" x14ac:dyDescent="0.2">
      <c r="C70" s="23" t="str">
        <f>"Объем: "&amp;Source!I31&amp;"=115/"&amp;"100"</f>
        <v>Объем: 1,15=115/100</v>
      </c>
      <c r="F70" s="12"/>
      <c r="G70" s="12"/>
      <c r="H70" s="12"/>
    </row>
    <row r="71" spans="1:28" x14ac:dyDescent="0.2">
      <c r="C71" s="23" t="s">
        <v>1130</v>
      </c>
      <c r="D71" s="23">
        <f>Source!BA31</f>
        <v>6.71</v>
      </c>
    </row>
    <row r="72" spans="1:28" x14ac:dyDescent="0.2">
      <c r="C72" s="23" t="s">
        <v>1131</v>
      </c>
      <c r="D72" s="23">
        <f>Source!BB31</f>
        <v>6.71</v>
      </c>
    </row>
    <row r="73" spans="1:28" x14ac:dyDescent="0.2">
      <c r="C73" s="23" t="s">
        <v>1132</v>
      </c>
      <c r="D73" s="23">
        <f>Source!BC31</f>
        <v>6.71</v>
      </c>
    </row>
    <row r="74" spans="1:28" x14ac:dyDescent="0.2">
      <c r="C74" s="23" t="s">
        <v>1133</v>
      </c>
      <c r="D74" s="23">
        <f>Source!BS31</f>
        <v>6.71</v>
      </c>
    </row>
    <row r="75" spans="1:28" x14ac:dyDescent="0.2">
      <c r="C75" s="9" t="s">
        <v>1134</v>
      </c>
      <c r="D75" s="34"/>
      <c r="E75" s="34"/>
      <c r="F75" s="34">
        <f>Source!BZ31</f>
        <v>85</v>
      </c>
      <c r="G75" s="57">
        <f>(Source!AF31+Source!AE31)*Source!FX31/100</f>
        <v>64.030500000000004</v>
      </c>
      <c r="H75" s="57">
        <f>Source!X31</f>
        <v>494.09</v>
      </c>
    </row>
    <row r="76" spans="1:28" x14ac:dyDescent="0.2">
      <c r="C76" s="9" t="s">
        <v>1136</v>
      </c>
      <c r="D76" s="34"/>
      <c r="E76" s="34"/>
      <c r="F76" s="34">
        <f>Source!CA31</f>
        <v>65</v>
      </c>
      <c r="G76" s="57">
        <f>(Source!AF31+Source!AE31)*Source!FY31/100</f>
        <v>48.964500000000001</v>
      </c>
      <c r="H76" s="57">
        <f>Source!Y31</f>
        <v>377.83</v>
      </c>
    </row>
    <row r="77" spans="1:28" x14ac:dyDescent="0.2">
      <c r="C77" s="9" t="s">
        <v>1138</v>
      </c>
      <c r="D77" s="34"/>
      <c r="E77" s="34"/>
      <c r="F77" s="34"/>
      <c r="G77" s="57">
        <f>((Source!AF31+Source!AE31)*Source!FX31/100)+((Source!AF31+Source!AE31)*Source!FY31/100)+Source!AB31</f>
        <v>188.495</v>
      </c>
      <c r="H77" s="57">
        <f>Source!O31+Source!X31+Source!Y31</f>
        <v>1454.51</v>
      </c>
    </row>
    <row r="78" spans="1:28" ht="28.5" x14ac:dyDescent="0.2">
      <c r="A78" s="46">
        <v>5</v>
      </c>
      <c r="B78" s="46" t="str">
        <f>Source!E32</f>
        <v>5</v>
      </c>
      <c r="C78" s="46" t="str">
        <f>Source!G32</f>
        <v>Демонтаж:Щиток до трех групп, устанавливаемый в нише цоколя</v>
      </c>
      <c r="D78" s="46" t="str">
        <f>Source!F32</f>
        <v>м08-02-370-02</v>
      </c>
      <c r="E78" s="31" t="str">
        <f>Source!H32</f>
        <v>ШТ</v>
      </c>
      <c r="F78" s="12">
        <f>Source!I32</f>
        <v>2</v>
      </c>
      <c r="G78" s="22">
        <f>Source!AB32</f>
        <v>8.17</v>
      </c>
      <c r="H78" s="22">
        <f>Source!O32</f>
        <v>109.64</v>
      </c>
      <c r="T78">
        <f>Source!O32+Source!X32+Source!Y32</f>
        <v>186.73</v>
      </c>
      <c r="U78">
        <f>Source!P32</f>
        <v>0</v>
      </c>
      <c r="V78">
        <f>Source!S32</f>
        <v>38.11</v>
      </c>
      <c r="W78">
        <f>Source!Q32</f>
        <v>71.53</v>
      </c>
      <c r="X78">
        <f>Source!R32</f>
        <v>10.07</v>
      </c>
      <c r="Y78">
        <f>Source!U32</f>
        <v>0.54</v>
      </c>
      <c r="Z78">
        <f>Source!V32</f>
        <v>0.12</v>
      </c>
      <c r="AA78">
        <f>Source!X32</f>
        <v>45.77</v>
      </c>
      <c r="AB78">
        <f>Source!Y32</f>
        <v>31.32</v>
      </c>
    </row>
    <row r="79" spans="1:28" ht="14.25" x14ac:dyDescent="0.2">
      <c r="C79" s="23" t="s">
        <v>1130</v>
      </c>
      <c r="D79" s="23">
        <f>Source!BA32</f>
        <v>6.71</v>
      </c>
      <c r="F79" s="12"/>
      <c r="G79" s="12"/>
      <c r="H79" s="12"/>
    </row>
    <row r="80" spans="1:28" x14ac:dyDescent="0.2">
      <c r="C80" s="23" t="s">
        <v>1131</v>
      </c>
      <c r="D80" s="23">
        <f>Source!BB32</f>
        <v>6.71</v>
      </c>
    </row>
    <row r="81" spans="1:28" x14ac:dyDescent="0.2">
      <c r="C81" s="23" t="s">
        <v>1132</v>
      </c>
      <c r="D81" s="23">
        <f>Source!BC32</f>
        <v>6.71</v>
      </c>
    </row>
    <row r="82" spans="1:28" x14ac:dyDescent="0.2">
      <c r="C82" s="23" t="s">
        <v>1133</v>
      </c>
      <c r="D82" s="23">
        <f>Source!BS32</f>
        <v>6.71</v>
      </c>
    </row>
    <row r="83" spans="1:28" x14ac:dyDescent="0.2">
      <c r="C83" s="23" t="s">
        <v>1139</v>
      </c>
      <c r="D83" s="88" t="s">
        <v>48</v>
      </c>
      <c r="E83" s="88"/>
      <c r="F83" s="88"/>
      <c r="G83" s="88"/>
      <c r="H83" s="88"/>
    </row>
    <row r="84" spans="1:28" x14ac:dyDescent="0.2">
      <c r="C84" s="23" t="s">
        <v>1140</v>
      </c>
      <c r="D84" s="88" t="s">
        <v>49</v>
      </c>
      <c r="E84" s="88"/>
      <c r="F84" s="88"/>
      <c r="G84" s="88"/>
      <c r="H84" s="88"/>
    </row>
    <row r="85" spans="1:28" x14ac:dyDescent="0.2">
      <c r="C85" s="23" t="s">
        <v>1141</v>
      </c>
      <c r="D85" s="88" t="s">
        <v>49</v>
      </c>
      <c r="E85" s="88"/>
      <c r="F85" s="88"/>
      <c r="G85" s="88"/>
      <c r="H85" s="88"/>
    </row>
    <row r="86" spans="1:28" x14ac:dyDescent="0.2">
      <c r="C86" s="23" t="s">
        <v>1142</v>
      </c>
      <c r="D86" s="88" t="s">
        <v>49</v>
      </c>
      <c r="E86" s="88"/>
      <c r="F86" s="88"/>
      <c r="G86" s="88"/>
      <c r="H86" s="88"/>
    </row>
    <row r="87" spans="1:28" x14ac:dyDescent="0.2">
      <c r="C87" s="23" t="s">
        <v>1143</v>
      </c>
      <c r="D87" s="88" t="s">
        <v>49</v>
      </c>
      <c r="E87" s="88"/>
      <c r="F87" s="88"/>
      <c r="G87" s="88"/>
      <c r="H87" s="88"/>
    </row>
    <row r="88" spans="1:28" x14ac:dyDescent="0.2">
      <c r="C88" s="23" t="s">
        <v>1144</v>
      </c>
      <c r="D88" s="88" t="s">
        <v>49</v>
      </c>
      <c r="E88" s="88"/>
      <c r="F88" s="88"/>
      <c r="G88" s="88"/>
      <c r="H88" s="88"/>
    </row>
    <row r="89" spans="1:28" x14ac:dyDescent="0.2">
      <c r="C89" s="9" t="s">
        <v>1134</v>
      </c>
      <c r="D89" s="34"/>
      <c r="E89" s="34"/>
      <c r="F89" s="34">
        <f>Source!BZ32</f>
        <v>95</v>
      </c>
      <c r="G89" s="57">
        <f>(Source!AF32+Source!AE32)*Source!FX32/100</f>
        <v>3.4105000000000003</v>
      </c>
      <c r="H89" s="57">
        <f>Source!X32</f>
        <v>45.77</v>
      </c>
    </row>
    <row r="90" spans="1:28" x14ac:dyDescent="0.2">
      <c r="C90" s="9" t="s">
        <v>1136</v>
      </c>
      <c r="D90" s="34"/>
      <c r="E90" s="34"/>
      <c r="F90" s="34">
        <f>Source!CA32</f>
        <v>65</v>
      </c>
      <c r="G90" s="57">
        <f>(Source!AF32+Source!AE32)*Source!FY32/100</f>
        <v>2.3334999999999999</v>
      </c>
      <c r="H90" s="57">
        <f>Source!Y32</f>
        <v>31.32</v>
      </c>
    </row>
    <row r="91" spans="1:28" x14ac:dyDescent="0.2">
      <c r="C91" s="9" t="s">
        <v>1138</v>
      </c>
      <c r="D91" s="34"/>
      <c r="E91" s="34"/>
      <c r="F91" s="34"/>
      <c r="G91" s="57">
        <f>((Source!AF32+Source!AE32)*Source!FX32/100)+((Source!AF32+Source!AE32)*Source!FY32/100)+Source!AB32</f>
        <v>13.914</v>
      </c>
      <c r="H91" s="57">
        <f>Source!O32+Source!X32+Source!Y32</f>
        <v>186.73</v>
      </c>
    </row>
    <row r="92" spans="1:28" ht="28.5" x14ac:dyDescent="0.2">
      <c r="A92" s="46">
        <v>6</v>
      </c>
      <c r="B92" s="46" t="str">
        <f>Source!E33</f>
        <v>6</v>
      </c>
      <c r="C92" s="46" t="str">
        <f>Source!G33</f>
        <v>Демонтаж:Короба пластмассовые шириной до 40 мм</v>
      </c>
      <c r="D92" s="46" t="str">
        <f>Source!F33</f>
        <v>м08-02-390-01</v>
      </c>
      <c r="E92" s="31" t="str">
        <f>Source!H33</f>
        <v>100 м</v>
      </c>
      <c r="F92" s="12">
        <f>Source!I33</f>
        <v>1.1499999999999999</v>
      </c>
      <c r="G92" s="22">
        <f>Source!AB33</f>
        <v>46.57</v>
      </c>
      <c r="H92" s="22">
        <f>Source!O33</f>
        <v>359.35</v>
      </c>
      <c r="T92">
        <f>Source!O33+Source!X33+Source!Y33</f>
        <v>933.7</v>
      </c>
      <c r="U92">
        <f>Source!P33</f>
        <v>0</v>
      </c>
      <c r="V92">
        <f>Source!S33</f>
        <v>358.66</v>
      </c>
      <c r="W92">
        <f>Source!Q33</f>
        <v>0.69</v>
      </c>
      <c r="X92">
        <f>Source!R33</f>
        <v>0.31</v>
      </c>
      <c r="Y92">
        <f>Source!U33</f>
        <v>5.6200499999999991</v>
      </c>
      <c r="Z92">
        <f>Source!V33</f>
        <v>3.4499999999999999E-3</v>
      </c>
      <c r="AA92">
        <f>Source!X33</f>
        <v>341.02</v>
      </c>
      <c r="AB92">
        <f>Source!Y33</f>
        <v>233.33</v>
      </c>
    </row>
    <row r="93" spans="1:28" ht="14.25" x14ac:dyDescent="0.2">
      <c r="C93" s="23" t="str">
        <f>"Объем: "&amp;Source!I33&amp;"=115/"&amp;"100"</f>
        <v>Объем: 1,15=115/100</v>
      </c>
      <c r="F93" s="12"/>
      <c r="G93" s="12"/>
      <c r="H93" s="12"/>
    </row>
    <row r="94" spans="1:28" x14ac:dyDescent="0.2">
      <c r="C94" s="23" t="s">
        <v>1130</v>
      </c>
      <c r="D94" s="23">
        <f>Source!BA33</f>
        <v>6.71</v>
      </c>
    </row>
    <row r="95" spans="1:28" x14ac:dyDescent="0.2">
      <c r="C95" s="23" t="s">
        <v>1131</v>
      </c>
      <c r="D95" s="23">
        <f>Source!BB33</f>
        <v>6.71</v>
      </c>
    </row>
    <row r="96" spans="1:28" x14ac:dyDescent="0.2">
      <c r="C96" s="23" t="s">
        <v>1132</v>
      </c>
      <c r="D96" s="23">
        <f>Source!BC33</f>
        <v>6.71</v>
      </c>
    </row>
    <row r="97" spans="1:28" x14ac:dyDescent="0.2">
      <c r="C97" s="23" t="s">
        <v>1133</v>
      </c>
      <c r="D97" s="23">
        <f>Source!BS33</f>
        <v>6.71</v>
      </c>
    </row>
    <row r="98" spans="1:28" x14ac:dyDescent="0.2">
      <c r="C98" s="23" t="s">
        <v>1139</v>
      </c>
      <c r="D98" s="88" t="s">
        <v>48</v>
      </c>
      <c r="E98" s="88"/>
      <c r="F98" s="88"/>
      <c r="G98" s="88"/>
      <c r="H98" s="88"/>
    </row>
    <row r="99" spans="1:28" x14ac:dyDescent="0.2">
      <c r="C99" s="23" t="s">
        <v>1140</v>
      </c>
      <c r="D99" s="88" t="s">
        <v>49</v>
      </c>
      <c r="E99" s="88"/>
      <c r="F99" s="88"/>
      <c r="G99" s="88"/>
      <c r="H99" s="88"/>
    </row>
    <row r="100" spans="1:28" x14ac:dyDescent="0.2">
      <c r="C100" s="23" t="s">
        <v>1141</v>
      </c>
      <c r="D100" s="88" t="s">
        <v>49</v>
      </c>
      <c r="E100" s="88"/>
      <c r="F100" s="88"/>
      <c r="G100" s="88"/>
      <c r="H100" s="88"/>
    </row>
    <row r="101" spans="1:28" x14ac:dyDescent="0.2">
      <c r="C101" s="23" t="s">
        <v>1142</v>
      </c>
      <c r="D101" s="88" t="s">
        <v>49</v>
      </c>
      <c r="E101" s="88"/>
      <c r="F101" s="88"/>
      <c r="G101" s="88"/>
      <c r="H101" s="88"/>
    </row>
    <row r="102" spans="1:28" x14ac:dyDescent="0.2">
      <c r="C102" s="23" t="s">
        <v>1143</v>
      </c>
      <c r="D102" s="88" t="s">
        <v>49</v>
      </c>
      <c r="E102" s="88"/>
      <c r="F102" s="88"/>
      <c r="G102" s="88"/>
      <c r="H102" s="88"/>
    </row>
    <row r="103" spans="1:28" x14ac:dyDescent="0.2">
      <c r="C103" s="23" t="s">
        <v>1144</v>
      </c>
      <c r="D103" s="88" t="s">
        <v>49</v>
      </c>
      <c r="E103" s="88"/>
      <c r="F103" s="88"/>
      <c r="G103" s="88"/>
      <c r="H103" s="88"/>
    </row>
    <row r="104" spans="1:28" x14ac:dyDescent="0.2">
      <c r="C104" s="9" t="s">
        <v>1134</v>
      </c>
      <c r="D104" s="34"/>
      <c r="E104" s="34"/>
      <c r="F104" s="34">
        <f>Source!BZ33</f>
        <v>95</v>
      </c>
      <c r="G104" s="57">
        <f>(Source!AF33+Source!AE33)*Source!FX33/100</f>
        <v>44.193999999999996</v>
      </c>
      <c r="H104" s="57">
        <f>Source!X33</f>
        <v>341.02</v>
      </c>
    </row>
    <row r="105" spans="1:28" x14ac:dyDescent="0.2">
      <c r="C105" s="9" t="s">
        <v>1136</v>
      </c>
      <c r="D105" s="34"/>
      <c r="E105" s="34"/>
      <c r="F105" s="34">
        <f>Source!CA33</f>
        <v>65</v>
      </c>
      <c r="G105" s="57">
        <f>(Source!AF33+Source!AE33)*Source!FY33/100</f>
        <v>30.237999999999996</v>
      </c>
      <c r="H105" s="57">
        <f>Source!Y33</f>
        <v>233.33</v>
      </c>
    </row>
    <row r="106" spans="1:28" x14ac:dyDescent="0.2">
      <c r="C106" s="9" t="s">
        <v>1138</v>
      </c>
      <c r="D106" s="34"/>
      <c r="E106" s="34"/>
      <c r="F106" s="34"/>
      <c r="G106" s="57">
        <f>((Source!AF33+Source!AE33)*Source!FX33/100)+((Source!AF33+Source!AE33)*Source!FY33/100)+Source!AB33</f>
        <v>121.00199999999998</v>
      </c>
      <c r="H106" s="57">
        <f>Source!O33+Source!X33+Source!Y33</f>
        <v>933.7</v>
      </c>
    </row>
    <row r="107" spans="1:28" ht="57" x14ac:dyDescent="0.2">
      <c r="A107" s="46">
        <v>7</v>
      </c>
      <c r="B107" s="46" t="str">
        <f>Source!E34</f>
        <v>7</v>
      </c>
      <c r="C107" s="46" t="str">
        <f>Source!G34</f>
        <v>Демонтаж:ПС автоматический тепловой электро-контактный, магнитоконтактный в нормальном исполнении</v>
      </c>
      <c r="D107" s="46" t="str">
        <f>Source!F34</f>
        <v>м10-08-002-01</v>
      </c>
      <c r="E107" s="31" t="str">
        <f>Source!H34</f>
        <v>ШТ</v>
      </c>
      <c r="F107" s="12">
        <f>Source!I34</f>
        <v>21</v>
      </c>
      <c r="G107" s="22">
        <f>Source!AB34</f>
        <v>2.42</v>
      </c>
      <c r="H107" s="22">
        <f>Source!O34</f>
        <v>341</v>
      </c>
      <c r="T107">
        <f>Source!O34+Source!X34+Source!Y34</f>
        <v>818.4</v>
      </c>
      <c r="U107">
        <f>Source!P34</f>
        <v>0</v>
      </c>
      <c r="V107">
        <f>Source!S34</f>
        <v>341</v>
      </c>
      <c r="W107">
        <f>Source!Q34</f>
        <v>0</v>
      </c>
      <c r="X107">
        <f>Source!R34</f>
        <v>0</v>
      </c>
      <c r="Y107">
        <f>Source!U34</f>
        <v>5.2919999999999998</v>
      </c>
      <c r="Z107">
        <f>Source!V34</f>
        <v>0</v>
      </c>
      <c r="AA107">
        <f>Source!X34</f>
        <v>272.8</v>
      </c>
      <c r="AB107">
        <f>Source!Y34</f>
        <v>204.6</v>
      </c>
    </row>
    <row r="108" spans="1:28" ht="14.25" x14ac:dyDescent="0.2">
      <c r="C108" s="23" t="s">
        <v>1130</v>
      </c>
      <c r="D108" s="23">
        <f>Source!BA34</f>
        <v>6.71</v>
      </c>
      <c r="F108" s="12"/>
      <c r="G108" s="12"/>
      <c r="H108" s="12"/>
    </row>
    <row r="109" spans="1:28" x14ac:dyDescent="0.2">
      <c r="C109" s="23" t="s">
        <v>1131</v>
      </c>
      <c r="D109" s="23">
        <f>Source!BB34</f>
        <v>6.71</v>
      </c>
    </row>
    <row r="110" spans="1:28" x14ac:dyDescent="0.2">
      <c r="C110" s="23" t="s">
        <v>1132</v>
      </c>
      <c r="D110" s="23">
        <f>Source!BC34</f>
        <v>6.71</v>
      </c>
    </row>
    <row r="111" spans="1:28" x14ac:dyDescent="0.2">
      <c r="C111" s="23" t="s">
        <v>1133</v>
      </c>
      <c r="D111" s="23">
        <f>Source!BS34</f>
        <v>6.71</v>
      </c>
    </row>
    <row r="112" spans="1:28" x14ac:dyDescent="0.2">
      <c r="C112" s="23" t="s">
        <v>1139</v>
      </c>
      <c r="D112" s="88" t="s">
        <v>48</v>
      </c>
      <c r="E112" s="88"/>
      <c r="F112" s="88"/>
      <c r="G112" s="88"/>
      <c r="H112" s="88"/>
    </row>
    <row r="113" spans="1:28" x14ac:dyDescent="0.2">
      <c r="C113" s="23" t="s">
        <v>1140</v>
      </c>
      <c r="D113" s="88" t="s">
        <v>49</v>
      </c>
      <c r="E113" s="88"/>
      <c r="F113" s="88"/>
      <c r="G113" s="88"/>
      <c r="H113" s="88"/>
    </row>
    <row r="114" spans="1:28" x14ac:dyDescent="0.2">
      <c r="C114" s="23" t="s">
        <v>1141</v>
      </c>
      <c r="D114" s="88" t="s">
        <v>49</v>
      </c>
      <c r="E114" s="88"/>
      <c r="F114" s="88"/>
      <c r="G114" s="88"/>
      <c r="H114" s="88"/>
    </row>
    <row r="115" spans="1:28" x14ac:dyDescent="0.2">
      <c r="C115" s="23" t="s">
        <v>1142</v>
      </c>
      <c r="D115" s="88" t="s">
        <v>49</v>
      </c>
      <c r="E115" s="88"/>
      <c r="F115" s="88"/>
      <c r="G115" s="88"/>
      <c r="H115" s="88"/>
    </row>
    <row r="116" spans="1:28" x14ac:dyDescent="0.2">
      <c r="C116" s="23" t="s">
        <v>1143</v>
      </c>
      <c r="D116" s="88" t="s">
        <v>49</v>
      </c>
      <c r="E116" s="88"/>
      <c r="F116" s="88"/>
      <c r="G116" s="88"/>
      <c r="H116" s="88"/>
    </row>
    <row r="117" spans="1:28" x14ac:dyDescent="0.2">
      <c r="C117" s="23" t="s">
        <v>1144</v>
      </c>
      <c r="D117" s="88" t="s">
        <v>49</v>
      </c>
      <c r="E117" s="88"/>
      <c r="F117" s="88"/>
      <c r="G117" s="88"/>
      <c r="H117" s="88"/>
    </row>
    <row r="118" spans="1:28" x14ac:dyDescent="0.2">
      <c r="C118" s="9" t="s">
        <v>1134</v>
      </c>
      <c r="D118" s="34"/>
      <c r="E118" s="34"/>
      <c r="F118" s="34">
        <f>Source!BZ34</f>
        <v>80</v>
      </c>
      <c r="G118" s="57">
        <f>(Source!AF34+Source!AE34)*Source!FX34/100</f>
        <v>1.9359999999999999</v>
      </c>
      <c r="H118" s="57">
        <f>Source!X34</f>
        <v>272.8</v>
      </c>
    </row>
    <row r="119" spans="1:28" x14ac:dyDescent="0.2">
      <c r="C119" s="9" t="s">
        <v>1136</v>
      </c>
      <c r="D119" s="34"/>
      <c r="E119" s="34"/>
      <c r="F119" s="34">
        <f>Source!CA34</f>
        <v>60</v>
      </c>
      <c r="G119" s="57">
        <f>(Source!AF34+Source!AE34)*Source!FY34/100</f>
        <v>1.452</v>
      </c>
      <c r="H119" s="57">
        <f>Source!Y34</f>
        <v>204.6</v>
      </c>
    </row>
    <row r="120" spans="1:28" x14ac:dyDescent="0.2">
      <c r="C120" s="9" t="s">
        <v>1138</v>
      </c>
      <c r="D120" s="34"/>
      <c r="E120" s="34"/>
      <c r="F120" s="34"/>
      <c r="G120" s="57">
        <f>((Source!AF34+Source!AE34)*Source!FX34/100)+((Source!AF34+Source!AE34)*Source!FY34/100)+Source!AB34</f>
        <v>5.8079999999999998</v>
      </c>
      <c r="H120" s="57">
        <f>Source!O34+Source!X34+Source!Y34</f>
        <v>818.4</v>
      </c>
    </row>
    <row r="121" spans="1:28" ht="28.5" x14ac:dyDescent="0.2">
      <c r="A121" s="46">
        <v>8</v>
      </c>
      <c r="B121" s="46" t="str">
        <f>Source!E35</f>
        <v>8</v>
      </c>
      <c r="C121" s="46" t="str">
        <f>Source!G35</f>
        <v>Демонтаж:Громкоговоритель или звуковая колонка в помещении</v>
      </c>
      <c r="D121" s="46" t="str">
        <f>Source!F35</f>
        <v>м10-04-101-07</v>
      </c>
      <c r="E121" s="31" t="str">
        <f>Source!H35</f>
        <v>ШТ</v>
      </c>
      <c r="F121" s="12">
        <f>Source!I35</f>
        <v>6</v>
      </c>
      <c r="G121" s="22">
        <f>Source!AB35</f>
        <v>10.88</v>
      </c>
      <c r="H121" s="22">
        <f>Source!O35</f>
        <v>438.03</v>
      </c>
      <c r="T121">
        <f>Source!O35+Source!X35+Source!Y35</f>
        <v>1125.74</v>
      </c>
      <c r="U121">
        <f>Source!P35</f>
        <v>0</v>
      </c>
      <c r="V121">
        <f>Source!S35</f>
        <v>438.03</v>
      </c>
      <c r="W121">
        <f>Source!Q35</f>
        <v>0</v>
      </c>
      <c r="X121">
        <f>Source!R35</f>
        <v>0</v>
      </c>
      <c r="Y121">
        <f>Source!U35</f>
        <v>7.1999999999999993</v>
      </c>
      <c r="Z121">
        <f>Source!V35</f>
        <v>0</v>
      </c>
      <c r="AA121">
        <f>Source!X35</f>
        <v>402.99</v>
      </c>
      <c r="AB121">
        <f>Source!Y35</f>
        <v>284.72000000000003</v>
      </c>
    </row>
    <row r="122" spans="1:28" ht="14.25" x14ac:dyDescent="0.2">
      <c r="C122" s="23" t="s">
        <v>1130</v>
      </c>
      <c r="D122" s="23">
        <f>Source!BA35</f>
        <v>6.71</v>
      </c>
      <c r="F122" s="12"/>
      <c r="G122" s="12"/>
      <c r="H122" s="12"/>
    </row>
    <row r="123" spans="1:28" x14ac:dyDescent="0.2">
      <c r="C123" s="23" t="s">
        <v>1131</v>
      </c>
      <c r="D123" s="23">
        <f>Source!BB35</f>
        <v>6.71</v>
      </c>
    </row>
    <row r="124" spans="1:28" x14ac:dyDescent="0.2">
      <c r="C124" s="23" t="s">
        <v>1132</v>
      </c>
      <c r="D124" s="23">
        <f>Source!BC35</f>
        <v>6.71</v>
      </c>
    </row>
    <row r="125" spans="1:28" x14ac:dyDescent="0.2">
      <c r="C125" s="23" t="s">
        <v>1133</v>
      </c>
      <c r="D125" s="23">
        <f>Source!BS35</f>
        <v>6.71</v>
      </c>
    </row>
    <row r="126" spans="1:28" x14ac:dyDescent="0.2">
      <c r="C126" s="23" t="s">
        <v>1139</v>
      </c>
      <c r="D126" s="88" t="s">
        <v>48</v>
      </c>
      <c r="E126" s="88"/>
      <c r="F126" s="88"/>
      <c r="G126" s="88"/>
      <c r="H126" s="88"/>
    </row>
    <row r="127" spans="1:28" x14ac:dyDescent="0.2">
      <c r="C127" s="23" t="s">
        <v>1140</v>
      </c>
      <c r="D127" s="88" t="s">
        <v>68</v>
      </c>
      <c r="E127" s="88"/>
      <c r="F127" s="88"/>
      <c r="G127" s="88"/>
      <c r="H127" s="88"/>
    </row>
    <row r="128" spans="1:28" x14ac:dyDescent="0.2">
      <c r="C128" s="23" t="s">
        <v>1141</v>
      </c>
      <c r="D128" s="88" t="s">
        <v>68</v>
      </c>
      <c r="E128" s="88"/>
      <c r="F128" s="88"/>
      <c r="G128" s="88"/>
      <c r="H128" s="88"/>
    </row>
    <row r="129" spans="1:28" x14ac:dyDescent="0.2">
      <c r="C129" s="23" t="s">
        <v>1142</v>
      </c>
      <c r="D129" s="88" t="s">
        <v>68</v>
      </c>
      <c r="E129" s="88"/>
      <c r="F129" s="88"/>
      <c r="G129" s="88"/>
      <c r="H129" s="88"/>
    </row>
    <row r="130" spans="1:28" x14ac:dyDescent="0.2">
      <c r="C130" s="23" t="s">
        <v>1143</v>
      </c>
      <c r="D130" s="88" t="s">
        <v>68</v>
      </c>
      <c r="E130" s="88"/>
      <c r="F130" s="88"/>
      <c r="G130" s="88"/>
      <c r="H130" s="88"/>
    </row>
    <row r="131" spans="1:28" x14ac:dyDescent="0.2">
      <c r="C131" s="23" t="s">
        <v>1144</v>
      </c>
      <c r="D131" s="88" t="s">
        <v>68</v>
      </c>
      <c r="E131" s="88"/>
      <c r="F131" s="88"/>
      <c r="G131" s="88"/>
      <c r="H131" s="88"/>
    </row>
    <row r="132" spans="1:28" x14ac:dyDescent="0.2">
      <c r="C132" s="9" t="s">
        <v>1134</v>
      </c>
      <c r="D132" s="34"/>
      <c r="E132" s="34"/>
      <c r="F132" s="34">
        <f>Source!BZ35</f>
        <v>92</v>
      </c>
      <c r="G132" s="57">
        <f>(Source!AF35+Source!AE35)*Source!FX35/100</f>
        <v>10.009600000000001</v>
      </c>
      <c r="H132" s="57">
        <f>Source!X35</f>
        <v>402.99</v>
      </c>
    </row>
    <row r="133" spans="1:28" x14ac:dyDescent="0.2">
      <c r="C133" s="9" t="s">
        <v>1136</v>
      </c>
      <c r="D133" s="34"/>
      <c r="E133" s="34"/>
      <c r="F133" s="34">
        <f>Source!CA35</f>
        <v>65</v>
      </c>
      <c r="G133" s="57">
        <f>(Source!AF35+Source!AE35)*Source!FY35/100</f>
        <v>7.0720000000000001</v>
      </c>
      <c r="H133" s="57">
        <f>Source!Y35</f>
        <v>284.72000000000003</v>
      </c>
    </row>
    <row r="134" spans="1:28" x14ac:dyDescent="0.2">
      <c r="C134" s="9" t="s">
        <v>1138</v>
      </c>
      <c r="D134" s="34"/>
      <c r="E134" s="34"/>
      <c r="F134" s="34"/>
      <c r="G134" s="57">
        <f>((Source!AF35+Source!AE35)*Source!FX35/100)+((Source!AF35+Source!AE35)*Source!FY35/100)+Source!AB35</f>
        <v>27.961600000000004</v>
      </c>
      <c r="H134" s="57">
        <f>Source!O35+Source!X35+Source!Y35</f>
        <v>1125.74</v>
      </c>
    </row>
    <row r="135" spans="1:28" ht="28.5" x14ac:dyDescent="0.2">
      <c r="A135" s="46">
        <v>9</v>
      </c>
      <c r="B135" s="46" t="str">
        <f>Source!E36</f>
        <v>9</v>
      </c>
      <c r="C135" s="46" t="str">
        <f>Source!G36</f>
        <v>Разборка покрытий полов из плиток поливинилхлоридных</v>
      </c>
      <c r="D135" s="46" t="str">
        <f>Source!F36</f>
        <v>57-2-2</v>
      </c>
      <c r="E135" s="31" t="str">
        <f>Source!H36</f>
        <v>100 м2</v>
      </c>
      <c r="F135" s="12">
        <f>Source!I36</f>
        <v>1.5</v>
      </c>
      <c r="G135" s="22">
        <f>Source!AB36</f>
        <v>280.88</v>
      </c>
      <c r="H135" s="22">
        <f>Source!O36</f>
        <v>2827.05</v>
      </c>
      <c r="T135">
        <f>Source!O36+Source!X36+Source!Y36</f>
        <v>6976.82</v>
      </c>
      <c r="U135">
        <f>Source!P36</f>
        <v>0</v>
      </c>
      <c r="V135">
        <f>Source!S36</f>
        <v>2786.19</v>
      </c>
      <c r="W135">
        <f>Source!Q36</f>
        <v>40.86</v>
      </c>
      <c r="X135">
        <f>Source!R36</f>
        <v>17.71</v>
      </c>
      <c r="Y135">
        <f>Source!U36</f>
        <v>53.234999999999999</v>
      </c>
      <c r="Z135">
        <f>Source!V36</f>
        <v>0.19500000000000001</v>
      </c>
      <c r="AA135">
        <f>Source!X36</f>
        <v>2243.12</v>
      </c>
      <c r="AB135">
        <f>Source!Y36</f>
        <v>1906.65</v>
      </c>
    </row>
    <row r="136" spans="1:28" ht="14.25" x14ac:dyDescent="0.2">
      <c r="C136" s="23" t="str">
        <f>"Объем: "&amp;Source!I36&amp;"=150/"&amp;"100"</f>
        <v>Объем: 1,5=150/100</v>
      </c>
      <c r="F136" s="12"/>
      <c r="G136" s="12"/>
      <c r="H136" s="12"/>
    </row>
    <row r="137" spans="1:28" x14ac:dyDescent="0.2">
      <c r="C137" s="23" t="s">
        <v>1130</v>
      </c>
      <c r="D137" s="23">
        <f>Source!BA36</f>
        <v>6.71</v>
      </c>
    </row>
    <row r="138" spans="1:28" x14ac:dyDescent="0.2">
      <c r="C138" s="23" t="s">
        <v>1131</v>
      </c>
      <c r="D138" s="23">
        <f>Source!BB36</f>
        <v>6.71</v>
      </c>
    </row>
    <row r="139" spans="1:28" x14ac:dyDescent="0.2">
      <c r="C139" s="23" t="s">
        <v>1132</v>
      </c>
      <c r="D139" s="23">
        <f>Source!BC36</f>
        <v>6.71</v>
      </c>
    </row>
    <row r="140" spans="1:28" x14ac:dyDescent="0.2">
      <c r="C140" s="23" t="s">
        <v>1133</v>
      </c>
      <c r="D140" s="23">
        <f>Source!BS36</f>
        <v>6.71</v>
      </c>
    </row>
    <row r="141" spans="1:28" x14ac:dyDescent="0.2">
      <c r="C141" s="9" t="s">
        <v>1134</v>
      </c>
      <c r="D141" s="34"/>
      <c r="E141" s="34"/>
      <c r="F141" s="34">
        <f>Source!BZ36</f>
        <v>80</v>
      </c>
      <c r="G141" s="57">
        <f>(Source!AF36+Source!AE36)*Source!FX36/100</f>
        <v>222.86399999999998</v>
      </c>
      <c r="H141" s="57">
        <f>Source!X36</f>
        <v>2243.12</v>
      </c>
    </row>
    <row r="142" spans="1:28" x14ac:dyDescent="0.2">
      <c r="C142" s="9" t="s">
        <v>1136</v>
      </c>
      <c r="D142" s="34"/>
      <c r="E142" s="34"/>
      <c r="F142" s="34">
        <f>Source!CA36</f>
        <v>68</v>
      </c>
      <c r="G142" s="57">
        <f>(Source!AF36+Source!AE36)*Source!FY36/100</f>
        <v>189.43439999999998</v>
      </c>
      <c r="H142" s="57">
        <f>Source!Y36</f>
        <v>1906.65</v>
      </c>
    </row>
    <row r="143" spans="1:28" x14ac:dyDescent="0.2">
      <c r="C143" s="9" t="s">
        <v>1138</v>
      </c>
      <c r="D143" s="34"/>
      <c r="E143" s="34"/>
      <c r="F143" s="34"/>
      <c r="G143" s="57">
        <f>((Source!AF36+Source!AE36)*Source!FX36/100)+((Source!AF36+Source!AE36)*Source!FY36/100)+Source!AB36</f>
        <v>693.17840000000001</v>
      </c>
      <c r="H143" s="57">
        <f>Source!O36+Source!X36+Source!Y36</f>
        <v>6976.82</v>
      </c>
    </row>
    <row r="144" spans="1:28" ht="28.5" x14ac:dyDescent="0.2">
      <c r="A144" s="46">
        <v>10</v>
      </c>
      <c r="B144" s="46" t="str">
        <f>Source!E37</f>
        <v>10</v>
      </c>
      <c r="C144" s="46" t="str">
        <f>Source!G37</f>
        <v>Демонтаж: Устройство стяжек цементных толщиной 20 мм</v>
      </c>
      <c r="D144" s="46" t="str">
        <f>Source!F37</f>
        <v>11-01-011-01</v>
      </c>
      <c r="E144" s="31" t="str">
        <f>Source!H37</f>
        <v>100 м2</v>
      </c>
      <c r="F144" s="12">
        <f>Source!I37</f>
        <v>1.663</v>
      </c>
      <c r="G144" s="22">
        <f>Source!AB37</f>
        <v>286.36</v>
      </c>
      <c r="H144" s="22">
        <f>Source!O37</f>
        <v>3195.42</v>
      </c>
      <c r="T144">
        <f>Source!O37+Source!X37+Source!Y37</f>
        <v>8364.24</v>
      </c>
      <c r="U144">
        <f>Source!P37</f>
        <v>0</v>
      </c>
      <c r="V144">
        <f>Source!S37</f>
        <v>2800.51</v>
      </c>
      <c r="W144">
        <f>Source!Q37</f>
        <v>394.91</v>
      </c>
      <c r="X144">
        <f>Source!R37</f>
        <v>153.1</v>
      </c>
      <c r="Y144">
        <f>Source!U37</f>
        <v>52.564104</v>
      </c>
      <c r="Z144">
        <f>Source!V37</f>
        <v>1.689608</v>
      </c>
      <c r="AA144">
        <f>Source!X37</f>
        <v>3278.51</v>
      </c>
      <c r="AB144">
        <f>Source!Y37</f>
        <v>1890.31</v>
      </c>
    </row>
    <row r="145" spans="3:8" ht="14.25" x14ac:dyDescent="0.2">
      <c r="C145" s="23" t="str">
        <f>"Объем: "&amp;Source!I37&amp;"=166,3/"&amp;"100"</f>
        <v>Объем: 1,663=166,3/100</v>
      </c>
      <c r="F145" s="12"/>
      <c r="G145" s="12"/>
      <c r="H145" s="12"/>
    </row>
    <row r="146" spans="3:8" x14ac:dyDescent="0.2">
      <c r="C146" s="23" t="s">
        <v>1130</v>
      </c>
      <c r="D146" s="23">
        <f>Source!BA37</f>
        <v>6.71</v>
      </c>
    </row>
    <row r="147" spans="3:8" x14ac:dyDescent="0.2">
      <c r="C147" s="23" t="s">
        <v>1131</v>
      </c>
      <c r="D147" s="23">
        <f>Source!BB37</f>
        <v>6.71</v>
      </c>
    </row>
    <row r="148" spans="3:8" x14ac:dyDescent="0.2">
      <c r="C148" s="23" t="s">
        <v>1132</v>
      </c>
      <c r="D148" s="23">
        <f>Source!BC37</f>
        <v>6.71</v>
      </c>
    </row>
    <row r="149" spans="3:8" x14ac:dyDescent="0.2">
      <c r="C149" s="23" t="s">
        <v>1133</v>
      </c>
      <c r="D149" s="23">
        <f>Source!BS37</f>
        <v>6.71</v>
      </c>
    </row>
    <row r="150" spans="3:8" x14ac:dyDescent="0.2">
      <c r="C150" s="23" t="s">
        <v>1139</v>
      </c>
      <c r="D150" s="88" t="s">
        <v>48</v>
      </c>
      <c r="E150" s="88"/>
      <c r="F150" s="88"/>
      <c r="G150" s="88"/>
      <c r="H150" s="88"/>
    </row>
    <row r="151" spans="3:8" x14ac:dyDescent="0.2">
      <c r="C151" s="23" t="s">
        <v>1140</v>
      </c>
      <c r="D151" s="88" t="s">
        <v>82</v>
      </c>
      <c r="E151" s="88"/>
      <c r="F151" s="88"/>
      <c r="G151" s="88"/>
      <c r="H151" s="88"/>
    </row>
    <row r="152" spans="3:8" x14ac:dyDescent="0.2">
      <c r="C152" s="23" t="s">
        <v>1141</v>
      </c>
      <c r="D152" s="88" t="s">
        <v>82</v>
      </c>
      <c r="E152" s="88"/>
      <c r="F152" s="88"/>
      <c r="G152" s="88"/>
      <c r="H152" s="88"/>
    </row>
    <row r="153" spans="3:8" x14ac:dyDescent="0.2">
      <c r="C153" s="23" t="s">
        <v>1142</v>
      </c>
      <c r="D153" s="88" t="s">
        <v>82</v>
      </c>
      <c r="E153" s="88"/>
      <c r="F153" s="88"/>
      <c r="G153" s="88"/>
      <c r="H153" s="88"/>
    </row>
    <row r="154" spans="3:8" x14ac:dyDescent="0.2">
      <c r="C154" s="23" t="s">
        <v>1143</v>
      </c>
      <c r="D154" s="88" t="s">
        <v>82</v>
      </c>
      <c r="E154" s="88"/>
      <c r="F154" s="88"/>
      <c r="G154" s="88"/>
      <c r="H154" s="88"/>
    </row>
    <row r="155" spans="3:8" x14ac:dyDescent="0.2">
      <c r="C155" s="23" t="s">
        <v>1144</v>
      </c>
      <c r="D155" s="88" t="s">
        <v>82</v>
      </c>
      <c r="E155" s="88"/>
      <c r="F155" s="88"/>
      <c r="G155" s="88"/>
      <c r="H155" s="88"/>
    </row>
    <row r="156" spans="3:8" x14ac:dyDescent="0.2">
      <c r="C156" s="9" t="s">
        <v>1134</v>
      </c>
      <c r="D156" s="34"/>
      <c r="E156" s="34"/>
      <c r="F156" s="34">
        <f>Source!BZ37</f>
        <v>123</v>
      </c>
      <c r="G156" s="57">
        <f>(Source!AF37+Source!AE37)*Source!FX37/100</f>
        <v>293.01183000000003</v>
      </c>
      <c r="H156" s="57">
        <f>Source!X37</f>
        <v>3278.51</v>
      </c>
    </row>
    <row r="157" spans="3:8" x14ac:dyDescent="0.2">
      <c r="C157" s="9" t="s">
        <v>1135</v>
      </c>
      <c r="D157" s="34"/>
      <c r="E157" s="34"/>
      <c r="F157" s="34"/>
      <c r="G157" s="34" t="str">
        <f>CONCATENATE(Source!DL37,Source!FT37, "=", Source!FX37, "%")</f>
        <v>*0,9=110,7%</v>
      </c>
      <c r="H157" s="34" t="str">
        <f>CONCATENATE(Source!AT37)</f>
        <v>111</v>
      </c>
    </row>
    <row r="158" spans="3:8" x14ac:dyDescent="0.2">
      <c r="C158" s="9" t="s">
        <v>1136</v>
      </c>
      <c r="D158" s="34"/>
      <c r="E158" s="34"/>
      <c r="F158" s="34">
        <f>Source!CA37</f>
        <v>75</v>
      </c>
      <c r="G158" s="57">
        <f>(Source!AF37+Source!AE37)*Source!FY37/100</f>
        <v>168.73987499999998</v>
      </c>
      <c r="H158" s="57">
        <f>Source!Y37</f>
        <v>1890.31</v>
      </c>
    </row>
    <row r="159" spans="3:8" x14ac:dyDescent="0.2">
      <c r="C159" s="9" t="s">
        <v>1137</v>
      </c>
      <c r="D159" s="34"/>
      <c r="E159" s="34"/>
      <c r="F159" s="34"/>
      <c r="G159" s="34" t="str">
        <f>CONCATENATE(Source!DM37,Source!FU37, "=", Source!FY37, "%")</f>
        <v>*0,85=63,75%</v>
      </c>
      <c r="H159" s="34" t="str">
        <f>CONCATENATE(Source!AU37)</f>
        <v>64</v>
      </c>
    </row>
    <row r="160" spans="3:8" x14ac:dyDescent="0.2">
      <c r="C160" s="9" t="s">
        <v>1138</v>
      </c>
      <c r="D160" s="34"/>
      <c r="E160" s="34"/>
      <c r="F160" s="34"/>
      <c r="G160" s="57">
        <f>((Source!AF37+Source!AE37)*Source!FX37/100)+((Source!AF37+Source!AE37)*Source!FY37/100)+Source!AB37</f>
        <v>748.11170500000003</v>
      </c>
      <c r="H160" s="57">
        <f>Source!O37+Source!X37+Source!Y37</f>
        <v>8364.24</v>
      </c>
    </row>
    <row r="161" spans="1:28" ht="28.5" x14ac:dyDescent="0.2">
      <c r="A161" s="46">
        <v>11</v>
      </c>
      <c r="B161" s="46" t="str">
        <f>Source!E38</f>
        <v>11</v>
      </c>
      <c r="C161" s="46" t="str">
        <f>Source!G38</f>
        <v>Разборка плинтусов деревянных и из пластмассовых материалов</v>
      </c>
      <c r="D161" s="46" t="str">
        <f>Source!F38</f>
        <v>57-3-1</v>
      </c>
      <c r="E161" s="31" t="str">
        <f>Source!H38</f>
        <v>100 м</v>
      </c>
      <c r="F161" s="12">
        <f>Source!I38</f>
        <v>1.373</v>
      </c>
      <c r="G161" s="22">
        <f>Source!AB38</f>
        <v>29.41</v>
      </c>
      <c r="H161" s="22">
        <f>Source!O38</f>
        <v>270.95</v>
      </c>
      <c r="T161">
        <f>Source!O38+Source!X38+Source!Y38</f>
        <v>671.96</v>
      </c>
      <c r="U161">
        <f>Source!P38</f>
        <v>0</v>
      </c>
      <c r="V161">
        <f>Source!S38</f>
        <v>270.95</v>
      </c>
      <c r="W161">
        <f>Source!Q38</f>
        <v>0</v>
      </c>
      <c r="X161">
        <f>Source!R38</f>
        <v>0</v>
      </c>
      <c r="Y161">
        <f>Source!U38</f>
        <v>5.1762100000000002</v>
      </c>
      <c r="Z161">
        <f>Source!V38</f>
        <v>0</v>
      </c>
      <c r="AA161">
        <f>Source!X38</f>
        <v>216.76</v>
      </c>
      <c r="AB161">
        <f>Source!Y38</f>
        <v>184.25</v>
      </c>
    </row>
    <row r="162" spans="1:28" ht="14.25" x14ac:dyDescent="0.2">
      <c r="C162" s="23" t="str">
        <f>"Объем: "&amp;Source!I38&amp;"=137,3/"&amp;"100"</f>
        <v>Объем: 1,373=137,3/100</v>
      </c>
      <c r="F162" s="12"/>
      <c r="G162" s="12"/>
      <c r="H162" s="12"/>
    </row>
    <row r="163" spans="1:28" x14ac:dyDescent="0.2">
      <c r="C163" s="23" t="s">
        <v>1130</v>
      </c>
      <c r="D163" s="23">
        <f>Source!BA38</f>
        <v>6.71</v>
      </c>
    </row>
    <row r="164" spans="1:28" x14ac:dyDescent="0.2">
      <c r="C164" s="23" t="s">
        <v>1131</v>
      </c>
      <c r="D164" s="23">
        <f>Source!BB38</f>
        <v>6.71</v>
      </c>
    </row>
    <row r="165" spans="1:28" x14ac:dyDescent="0.2">
      <c r="C165" s="23" t="s">
        <v>1132</v>
      </c>
      <c r="D165" s="23">
        <f>Source!BC38</f>
        <v>6.71</v>
      </c>
    </row>
    <row r="166" spans="1:28" x14ac:dyDescent="0.2">
      <c r="C166" s="23" t="s">
        <v>1133</v>
      </c>
      <c r="D166" s="23">
        <f>Source!BS38</f>
        <v>6.71</v>
      </c>
    </row>
    <row r="167" spans="1:28" x14ac:dyDescent="0.2">
      <c r="C167" s="9" t="s">
        <v>1134</v>
      </c>
      <c r="D167" s="34"/>
      <c r="E167" s="34"/>
      <c r="F167" s="34">
        <f>Source!BZ38</f>
        <v>80</v>
      </c>
      <c r="G167" s="57">
        <f>(Source!AF38+Source!AE38)*Source!FX38/100</f>
        <v>23.528000000000002</v>
      </c>
      <c r="H167" s="57">
        <f>Source!X38</f>
        <v>216.76</v>
      </c>
    </row>
    <row r="168" spans="1:28" x14ac:dyDescent="0.2">
      <c r="C168" s="9" t="s">
        <v>1136</v>
      </c>
      <c r="D168" s="34"/>
      <c r="E168" s="34"/>
      <c r="F168" s="34">
        <f>Source!CA38</f>
        <v>68</v>
      </c>
      <c r="G168" s="57">
        <f>(Source!AF38+Source!AE38)*Source!FY38/100</f>
        <v>19.998800000000003</v>
      </c>
      <c r="H168" s="57">
        <f>Source!Y38</f>
        <v>184.25</v>
      </c>
    </row>
    <row r="169" spans="1:28" x14ac:dyDescent="0.2">
      <c r="C169" s="9" t="s">
        <v>1138</v>
      </c>
      <c r="D169" s="34"/>
      <c r="E169" s="34"/>
      <c r="F169" s="34"/>
      <c r="G169" s="57">
        <f>((Source!AF38+Source!AE38)*Source!FX38/100)+((Source!AF38+Source!AE38)*Source!FY38/100)+Source!AB38</f>
        <v>72.936800000000005</v>
      </c>
      <c r="H169" s="57">
        <f>Source!O38+Source!X38+Source!Y38</f>
        <v>671.96</v>
      </c>
    </row>
    <row r="170" spans="1:28" ht="28.5" x14ac:dyDescent="0.2">
      <c r="A170" s="46">
        <v>12</v>
      </c>
      <c r="B170" s="46" t="str">
        <f>Source!E39</f>
        <v>12</v>
      </c>
      <c r="C170" s="46" t="str">
        <f>Source!G39</f>
        <v>Разборка облицовки стен из керамических глазурованных плиток</v>
      </c>
      <c r="D170" s="46" t="str">
        <f>Source!F39</f>
        <v>63-7-5</v>
      </c>
      <c r="E170" s="31" t="str">
        <f>Source!H39</f>
        <v>100 м2</v>
      </c>
      <c r="F170" s="12">
        <f>Source!I39</f>
        <v>4.4999999999999998E-2</v>
      </c>
      <c r="G170" s="22">
        <f>Source!AB39</f>
        <v>654</v>
      </c>
      <c r="H170" s="22">
        <f>Source!O39</f>
        <v>197.47</v>
      </c>
      <c r="T170">
        <f>Source!O39+Source!X39+Source!Y39</f>
        <v>423.52</v>
      </c>
      <c r="U170">
        <f>Source!P39</f>
        <v>0</v>
      </c>
      <c r="V170">
        <f>Source!S39</f>
        <v>176.56</v>
      </c>
      <c r="W170">
        <f>Source!Q39</f>
        <v>20.91</v>
      </c>
      <c r="X170">
        <f>Source!R39</f>
        <v>1.43</v>
      </c>
      <c r="Y170">
        <f>Source!U39</f>
        <v>3.3434999999999997</v>
      </c>
      <c r="Z170">
        <f>Source!V39</f>
        <v>1.575E-2</v>
      </c>
      <c r="AA170">
        <f>Source!X39</f>
        <v>137.05000000000001</v>
      </c>
      <c r="AB170">
        <f>Source!Y39</f>
        <v>89</v>
      </c>
    </row>
    <row r="171" spans="1:28" ht="14.25" x14ac:dyDescent="0.2">
      <c r="C171" s="23" t="str">
        <f>"Объем: "&amp;Source!I39&amp;"=4,5/"&amp;"100"</f>
        <v>Объем: 0,045=4,5/100</v>
      </c>
      <c r="F171" s="12"/>
      <c r="G171" s="12"/>
      <c r="H171" s="12"/>
    </row>
    <row r="172" spans="1:28" x14ac:dyDescent="0.2">
      <c r="C172" s="23" t="s">
        <v>1130</v>
      </c>
      <c r="D172" s="23">
        <f>Source!BA39</f>
        <v>6.71</v>
      </c>
    </row>
    <row r="173" spans="1:28" x14ac:dyDescent="0.2">
      <c r="C173" s="23" t="s">
        <v>1131</v>
      </c>
      <c r="D173" s="23">
        <f>Source!BB39</f>
        <v>6.71</v>
      </c>
    </row>
    <row r="174" spans="1:28" x14ac:dyDescent="0.2">
      <c r="C174" s="23" t="s">
        <v>1132</v>
      </c>
      <c r="D174" s="23">
        <f>Source!BC39</f>
        <v>6.71</v>
      </c>
    </row>
    <row r="175" spans="1:28" x14ac:dyDescent="0.2">
      <c r="C175" s="23" t="s">
        <v>1133</v>
      </c>
      <c r="D175" s="23">
        <f>Source!BS39</f>
        <v>6.71</v>
      </c>
    </row>
    <row r="176" spans="1:28" x14ac:dyDescent="0.2">
      <c r="C176" s="9" t="s">
        <v>1134</v>
      </c>
      <c r="D176" s="34"/>
      <c r="E176" s="34"/>
      <c r="F176" s="34">
        <f>Source!BZ39</f>
        <v>77</v>
      </c>
      <c r="G176" s="57">
        <f>(Source!AF39+Source!AE39)*Source!FX39/100</f>
        <v>453.89190000000002</v>
      </c>
      <c r="H176" s="57">
        <f>Source!X39</f>
        <v>137.05000000000001</v>
      </c>
    </row>
    <row r="177" spans="1:28" x14ac:dyDescent="0.2">
      <c r="C177" s="9" t="s">
        <v>1136</v>
      </c>
      <c r="D177" s="34"/>
      <c r="E177" s="34"/>
      <c r="F177" s="34">
        <f>Source!CA39</f>
        <v>50</v>
      </c>
      <c r="G177" s="57">
        <f>(Source!AF39+Source!AE39)*Source!FY39/100</f>
        <v>294.73500000000001</v>
      </c>
      <c r="H177" s="57">
        <f>Source!Y39</f>
        <v>89</v>
      </c>
    </row>
    <row r="178" spans="1:28" x14ac:dyDescent="0.2">
      <c r="C178" s="9" t="s">
        <v>1138</v>
      </c>
      <c r="D178" s="34"/>
      <c r="E178" s="34"/>
      <c r="F178" s="34"/>
      <c r="G178" s="57">
        <f>((Source!AF39+Source!AE39)*Source!FX39/100)+((Source!AF39+Source!AE39)*Source!FY39/100)+Source!AB39</f>
        <v>1402.6269</v>
      </c>
      <c r="H178" s="57">
        <f>Source!O39+Source!X39+Source!Y39</f>
        <v>423.52</v>
      </c>
    </row>
    <row r="179" spans="1:28" ht="14.25" x14ac:dyDescent="0.2">
      <c r="A179" s="46">
        <v>13</v>
      </c>
      <c r="B179" s="46" t="str">
        <f>Source!E40</f>
        <v>13</v>
      </c>
      <c r="C179" s="46" t="str">
        <f>Source!G40</f>
        <v>Снятие смесителя без душевой сетки</v>
      </c>
      <c r="D179" s="46" t="str">
        <f>Source!F40</f>
        <v>65-3-7</v>
      </c>
      <c r="E179" s="31" t="str">
        <f>Source!H40</f>
        <v>100 ШТ</v>
      </c>
      <c r="F179" s="12">
        <f>Source!I40</f>
        <v>0.03</v>
      </c>
      <c r="G179" s="22">
        <f>Source!AB40</f>
        <v>315.33</v>
      </c>
      <c r="H179" s="22">
        <f>Source!O40</f>
        <v>63.48</v>
      </c>
      <c r="T179">
        <f>Source!O40+Source!X40+Source!Y40</f>
        <v>141.88999999999999</v>
      </c>
      <c r="U179">
        <f>Source!P40</f>
        <v>0</v>
      </c>
      <c r="V179">
        <f>Source!S40</f>
        <v>63.04</v>
      </c>
      <c r="W179">
        <f>Source!Q40</f>
        <v>0.44</v>
      </c>
      <c r="X179">
        <f>Source!R40</f>
        <v>0.19</v>
      </c>
      <c r="Y179">
        <f>Source!U40</f>
        <v>1.1012999999999999</v>
      </c>
      <c r="Z179">
        <f>Source!V40</f>
        <v>2.1000000000000003E-3</v>
      </c>
      <c r="AA179">
        <f>Source!X40</f>
        <v>46.79</v>
      </c>
      <c r="AB179">
        <f>Source!Y40</f>
        <v>31.62</v>
      </c>
    </row>
    <row r="180" spans="1:28" ht="14.25" x14ac:dyDescent="0.2">
      <c r="C180" s="23" t="str">
        <f>"Объем: "&amp;Source!I40&amp;"=3/"&amp;"100"</f>
        <v>Объем: 0,03=3/100</v>
      </c>
      <c r="F180" s="12"/>
      <c r="G180" s="12"/>
      <c r="H180" s="12"/>
    </row>
    <row r="181" spans="1:28" x14ac:dyDescent="0.2">
      <c r="C181" s="23" t="s">
        <v>1130</v>
      </c>
      <c r="D181" s="23">
        <f>Source!BA40</f>
        <v>6.71</v>
      </c>
    </row>
    <row r="182" spans="1:28" x14ac:dyDescent="0.2">
      <c r="C182" s="23" t="s">
        <v>1131</v>
      </c>
      <c r="D182" s="23">
        <f>Source!BB40</f>
        <v>6.71</v>
      </c>
    </row>
    <row r="183" spans="1:28" x14ac:dyDescent="0.2">
      <c r="C183" s="23" t="s">
        <v>1132</v>
      </c>
      <c r="D183" s="23">
        <f>Source!BC40</f>
        <v>6.71</v>
      </c>
    </row>
    <row r="184" spans="1:28" x14ac:dyDescent="0.2">
      <c r="C184" s="23" t="s">
        <v>1133</v>
      </c>
      <c r="D184" s="23">
        <f>Source!BS40</f>
        <v>6.71</v>
      </c>
    </row>
    <row r="185" spans="1:28" x14ac:dyDescent="0.2">
      <c r="C185" s="9" t="s">
        <v>1134</v>
      </c>
      <c r="D185" s="34"/>
      <c r="E185" s="34"/>
      <c r="F185" s="34">
        <f>Source!BZ40</f>
        <v>74</v>
      </c>
      <c r="G185" s="57">
        <f>(Source!AF40+Source!AE40)*Source!FX40/100</f>
        <v>232.42660000000001</v>
      </c>
      <c r="H185" s="57">
        <f>Source!X40</f>
        <v>46.79</v>
      </c>
    </row>
    <row r="186" spans="1:28" x14ac:dyDescent="0.2">
      <c r="C186" s="9" t="s">
        <v>1136</v>
      </c>
      <c r="D186" s="34"/>
      <c r="E186" s="34"/>
      <c r="F186" s="34">
        <f>Source!CA40</f>
        <v>50</v>
      </c>
      <c r="G186" s="57">
        <f>(Source!AF40+Source!AE40)*Source!FY40/100</f>
        <v>157.04499999999999</v>
      </c>
      <c r="H186" s="57">
        <f>Source!Y40</f>
        <v>31.62</v>
      </c>
    </row>
    <row r="187" spans="1:28" x14ac:dyDescent="0.2">
      <c r="C187" s="9" t="s">
        <v>1138</v>
      </c>
      <c r="D187" s="34"/>
      <c r="E187" s="34"/>
      <c r="F187" s="34"/>
      <c r="G187" s="57">
        <f>((Source!AF40+Source!AE40)*Source!FX40/100)+((Source!AF40+Source!AE40)*Source!FY40/100)+Source!AB40</f>
        <v>704.80160000000001</v>
      </c>
      <c r="H187" s="57">
        <f>Source!O40+Source!X40+Source!Y40</f>
        <v>141.88999999999999</v>
      </c>
    </row>
    <row r="188" spans="1:28" ht="28.5" x14ac:dyDescent="0.2">
      <c r="A188" s="46">
        <v>14</v>
      </c>
      <c r="B188" s="46" t="str">
        <f>Source!E41</f>
        <v>13,1</v>
      </c>
      <c r="C188" s="46" t="str">
        <f>Source!G41</f>
        <v>Строительный мусор и масса возвратных материалов</v>
      </c>
      <c r="D188" s="46" t="str">
        <f>Source!F41</f>
        <v>01.7.07.07</v>
      </c>
      <c r="E188" s="31" t="str">
        <f>Source!H41</f>
        <v>т</v>
      </c>
      <c r="F188" s="12">
        <f>Source!I41</f>
        <v>6.6E-3</v>
      </c>
      <c r="G188" s="22">
        <f>Source!AB41</f>
        <v>0</v>
      </c>
      <c r="H188" s="22">
        <f>Source!O41</f>
        <v>0</v>
      </c>
      <c r="T188">
        <f>Source!O41+Source!X41+Source!Y41</f>
        <v>0</v>
      </c>
      <c r="U188">
        <f>Source!P41</f>
        <v>0</v>
      </c>
      <c r="V188">
        <f>Source!S41</f>
        <v>0</v>
      </c>
      <c r="W188">
        <f>Source!Q41</f>
        <v>0</v>
      </c>
      <c r="X188">
        <f>Source!R41</f>
        <v>0</v>
      </c>
      <c r="Y188">
        <f>Source!U41</f>
        <v>0</v>
      </c>
      <c r="Z188">
        <f>Source!V41</f>
        <v>0</v>
      </c>
      <c r="AA188">
        <f>Source!X41</f>
        <v>0</v>
      </c>
      <c r="AB188">
        <f>Source!Y41</f>
        <v>0</v>
      </c>
    </row>
    <row r="189" spans="1:28" ht="14.25" x14ac:dyDescent="0.2">
      <c r="C189" s="23" t="s">
        <v>1132</v>
      </c>
      <c r="D189" s="23">
        <f>Source!BC41</f>
        <v>6.71</v>
      </c>
      <c r="F189" s="12"/>
      <c r="G189" s="12"/>
      <c r="H189" s="12"/>
    </row>
    <row r="190" spans="1:28" ht="14.25" x14ac:dyDescent="0.2">
      <c r="A190" s="46">
        <v>15</v>
      </c>
      <c r="B190" s="46" t="str">
        <f>Source!E42</f>
        <v>14</v>
      </c>
      <c r="C190" s="46" t="str">
        <f>Source!G42</f>
        <v>Демонтаж умывальников и раковин</v>
      </c>
      <c r="D190" s="46" t="str">
        <f>Source!F42</f>
        <v>65-4-1</v>
      </c>
      <c r="E190" s="31" t="str">
        <f>Source!H42</f>
        <v>100 ШТ</v>
      </c>
      <c r="F190" s="12">
        <f>Source!I42</f>
        <v>0.03</v>
      </c>
      <c r="G190" s="22">
        <f>Source!AB42</f>
        <v>445.72</v>
      </c>
      <c r="H190" s="22">
        <f>Source!O42</f>
        <v>89.73</v>
      </c>
      <c r="T190">
        <f>Source!O42+Source!X42+Source!Y42</f>
        <v>199.84</v>
      </c>
      <c r="U190">
        <f>Source!P42</f>
        <v>0</v>
      </c>
      <c r="V190">
        <f>Source!S42</f>
        <v>88.09</v>
      </c>
      <c r="W190">
        <f>Source!Q42</f>
        <v>1.64</v>
      </c>
      <c r="X190">
        <f>Source!R42</f>
        <v>0.71</v>
      </c>
      <c r="Y190">
        <f>Source!U42</f>
        <v>1.5389999999999999</v>
      </c>
      <c r="Z190">
        <f>Source!V42</f>
        <v>7.7999999999999996E-3</v>
      </c>
      <c r="AA190">
        <f>Source!X42</f>
        <v>65.709999999999994</v>
      </c>
      <c r="AB190">
        <f>Source!Y42</f>
        <v>44.4</v>
      </c>
    </row>
    <row r="191" spans="1:28" ht="14.25" x14ac:dyDescent="0.2">
      <c r="C191" s="23" t="str">
        <f>"Объем: "&amp;Source!I42&amp;"=3/"&amp;"100"</f>
        <v>Объем: 0,03=3/100</v>
      </c>
      <c r="F191" s="12"/>
      <c r="G191" s="12"/>
      <c r="H191" s="12"/>
    </row>
    <row r="192" spans="1:28" x14ac:dyDescent="0.2">
      <c r="C192" s="23" t="s">
        <v>1130</v>
      </c>
      <c r="D192" s="23">
        <f>Source!BA42</f>
        <v>6.71</v>
      </c>
    </row>
    <row r="193" spans="1:28" x14ac:dyDescent="0.2">
      <c r="C193" s="23" t="s">
        <v>1131</v>
      </c>
      <c r="D193" s="23">
        <f>Source!BB42</f>
        <v>6.71</v>
      </c>
    </row>
    <row r="194" spans="1:28" x14ac:dyDescent="0.2">
      <c r="C194" s="23" t="s">
        <v>1132</v>
      </c>
      <c r="D194" s="23">
        <f>Source!BC42</f>
        <v>6.71</v>
      </c>
    </row>
    <row r="195" spans="1:28" x14ac:dyDescent="0.2">
      <c r="C195" s="23" t="s">
        <v>1133</v>
      </c>
      <c r="D195" s="23">
        <f>Source!BS42</f>
        <v>6.71</v>
      </c>
    </row>
    <row r="196" spans="1:28" x14ac:dyDescent="0.2">
      <c r="C196" s="9" t="s">
        <v>1134</v>
      </c>
      <c r="D196" s="34"/>
      <c r="E196" s="34"/>
      <c r="F196" s="34">
        <f>Source!BZ42</f>
        <v>74</v>
      </c>
      <c r="G196" s="57">
        <f>(Source!AF42+Source!AE42)*Source!FX42/100</f>
        <v>326.41399999999999</v>
      </c>
      <c r="H196" s="57">
        <f>Source!X42</f>
        <v>65.709999999999994</v>
      </c>
    </row>
    <row r="197" spans="1:28" x14ac:dyDescent="0.2">
      <c r="C197" s="9" t="s">
        <v>1136</v>
      </c>
      <c r="D197" s="34"/>
      <c r="E197" s="34"/>
      <c r="F197" s="34">
        <f>Source!CA42</f>
        <v>50</v>
      </c>
      <c r="G197" s="57">
        <f>(Source!AF42+Source!AE42)*Source!FY42/100</f>
        <v>220.55</v>
      </c>
      <c r="H197" s="57">
        <f>Source!Y42</f>
        <v>44.4</v>
      </c>
    </row>
    <row r="198" spans="1:28" x14ac:dyDescent="0.2">
      <c r="C198" s="9" t="s">
        <v>1138</v>
      </c>
      <c r="D198" s="34"/>
      <c r="E198" s="34"/>
      <c r="F198" s="34"/>
      <c r="G198" s="57">
        <f>((Source!AF42+Source!AE42)*Source!FX42/100)+((Source!AF42+Source!AE42)*Source!FY42/100)+Source!AB42</f>
        <v>992.68399999999997</v>
      </c>
      <c r="H198" s="57">
        <f>Source!O42+Source!X42+Source!Y42</f>
        <v>199.84</v>
      </c>
    </row>
    <row r="199" spans="1:28" ht="42.75" x14ac:dyDescent="0.2">
      <c r="A199" s="46">
        <v>16</v>
      </c>
      <c r="B199" s="46" t="str">
        <f>Source!E43</f>
        <v>15</v>
      </c>
      <c r="C199" s="46" t="str">
        <f>Source!G43</f>
        <v>Разборка трубопроводов из водогазопроводных труб диаметром до 32 мм</v>
      </c>
      <c r="D199" s="46" t="str">
        <f>Source!F43</f>
        <v>65-1-1</v>
      </c>
      <c r="E199" s="31" t="str">
        <f>Source!H43</f>
        <v>100 м</v>
      </c>
      <c r="F199" s="12">
        <f>Source!I43</f>
        <v>0.06</v>
      </c>
      <c r="G199" s="22">
        <f>Source!AB43</f>
        <v>295.11</v>
      </c>
      <c r="H199" s="22">
        <f>Source!O43</f>
        <v>118.81</v>
      </c>
      <c r="T199">
        <f>Source!O43+Source!X43+Source!Y43</f>
        <v>263.27</v>
      </c>
      <c r="U199">
        <f>Source!P43</f>
        <v>0</v>
      </c>
      <c r="V199">
        <f>Source!S43</f>
        <v>115.96</v>
      </c>
      <c r="W199">
        <f>Source!Q43</f>
        <v>2.85</v>
      </c>
      <c r="X199">
        <f>Source!R43</f>
        <v>0.54</v>
      </c>
      <c r="Y199">
        <f>Source!U43</f>
        <v>2.0795999999999997</v>
      </c>
      <c r="Z199">
        <f>Source!V43</f>
        <v>6.0000000000000001E-3</v>
      </c>
      <c r="AA199">
        <f>Source!X43</f>
        <v>86.21</v>
      </c>
      <c r="AB199">
        <f>Source!Y43</f>
        <v>58.25</v>
      </c>
    </row>
    <row r="200" spans="1:28" ht="14.25" x14ac:dyDescent="0.2">
      <c r="C200" s="23" t="str">
        <f>"Объем: "&amp;Source!I43&amp;"=6/"&amp;"100"</f>
        <v>Объем: 0,06=6/100</v>
      </c>
      <c r="F200" s="12"/>
      <c r="G200" s="12"/>
      <c r="H200" s="12"/>
    </row>
    <row r="201" spans="1:28" x14ac:dyDescent="0.2">
      <c r="C201" s="23" t="s">
        <v>1130</v>
      </c>
      <c r="D201" s="23">
        <f>Source!BA43</f>
        <v>6.71</v>
      </c>
    </row>
    <row r="202" spans="1:28" x14ac:dyDescent="0.2">
      <c r="C202" s="23" t="s">
        <v>1131</v>
      </c>
      <c r="D202" s="23">
        <f>Source!BB43</f>
        <v>6.71</v>
      </c>
    </row>
    <row r="203" spans="1:28" x14ac:dyDescent="0.2">
      <c r="C203" s="23" t="s">
        <v>1132</v>
      </c>
      <c r="D203" s="23">
        <f>Source!BC43</f>
        <v>6.71</v>
      </c>
    </row>
    <row r="204" spans="1:28" x14ac:dyDescent="0.2">
      <c r="C204" s="23" t="s">
        <v>1133</v>
      </c>
      <c r="D204" s="23">
        <f>Source!BS43</f>
        <v>6.71</v>
      </c>
    </row>
    <row r="205" spans="1:28" x14ac:dyDescent="0.2">
      <c r="C205" s="23" t="s">
        <v>1139</v>
      </c>
      <c r="D205" s="88" t="s">
        <v>113</v>
      </c>
      <c r="E205" s="88"/>
      <c r="F205" s="88"/>
      <c r="G205" s="88"/>
      <c r="H205" s="88"/>
    </row>
    <row r="206" spans="1:28" x14ac:dyDescent="0.2">
      <c r="C206" s="9" t="s">
        <v>1134</v>
      </c>
      <c r="D206" s="34"/>
      <c r="E206" s="34"/>
      <c r="F206" s="34">
        <f>Source!BZ43</f>
        <v>74</v>
      </c>
      <c r="G206" s="57">
        <f>(Source!AF43+Source!AE43)*Source!FX43/100</f>
        <v>214.13380000000001</v>
      </c>
      <c r="H206" s="57">
        <f>Source!X43</f>
        <v>86.21</v>
      </c>
    </row>
    <row r="207" spans="1:28" x14ac:dyDescent="0.2">
      <c r="C207" s="9" t="s">
        <v>1136</v>
      </c>
      <c r="D207" s="34"/>
      <c r="E207" s="34"/>
      <c r="F207" s="34">
        <f>Source!CA43</f>
        <v>50</v>
      </c>
      <c r="G207" s="57">
        <f>(Source!AF43+Source!AE43)*Source!FY43/100</f>
        <v>144.685</v>
      </c>
      <c r="H207" s="57">
        <f>Source!Y43</f>
        <v>58.25</v>
      </c>
    </row>
    <row r="208" spans="1:28" x14ac:dyDescent="0.2">
      <c r="C208" s="9" t="s">
        <v>1138</v>
      </c>
      <c r="D208" s="34"/>
      <c r="E208" s="34"/>
      <c r="F208" s="34"/>
      <c r="G208" s="57">
        <f>((Source!AF43+Source!AE43)*Source!FX43/100)+((Source!AF43+Source!AE43)*Source!FY43/100)+Source!AB43</f>
        <v>653.92880000000002</v>
      </c>
      <c r="H208" s="57">
        <f>Source!O43+Source!X43+Source!Y43</f>
        <v>263.27</v>
      </c>
    </row>
    <row r="209" spans="1:28" ht="28.5" x14ac:dyDescent="0.2">
      <c r="A209" s="46">
        <v>17</v>
      </c>
      <c r="B209" s="46" t="str">
        <f>Source!E44</f>
        <v>16</v>
      </c>
      <c r="C209" s="46" t="str">
        <f>Source!G44</f>
        <v>Разборка покрытий полов из керамических плиток</v>
      </c>
      <c r="D209" s="46" t="str">
        <f>Source!F44</f>
        <v>57-2-3</v>
      </c>
      <c r="E209" s="31" t="str">
        <f>Source!H44</f>
        <v>100 м2</v>
      </c>
      <c r="F209" s="12">
        <f>Source!I44</f>
        <v>0.16300000000000001</v>
      </c>
      <c r="G209" s="22">
        <f>Source!AB44</f>
        <v>641</v>
      </c>
      <c r="H209" s="22">
        <f>Source!O44</f>
        <v>701.08</v>
      </c>
      <c r="T209">
        <f>Source!O44+Source!X44+Source!Y44</f>
        <v>1697.2800000000002</v>
      </c>
      <c r="U209">
        <f>Source!P44</f>
        <v>0</v>
      </c>
      <c r="V209">
        <f>Source!S44</f>
        <v>651.85</v>
      </c>
      <c r="W209">
        <f>Source!Q44</f>
        <v>49.23</v>
      </c>
      <c r="X209">
        <f>Source!R44</f>
        <v>21.26</v>
      </c>
      <c r="Y209">
        <f>Source!U44</f>
        <v>11.388810000000001</v>
      </c>
      <c r="Z209">
        <f>Source!V44</f>
        <v>0.23472000000000001</v>
      </c>
      <c r="AA209">
        <f>Source!X44</f>
        <v>538.49</v>
      </c>
      <c r="AB209">
        <f>Source!Y44</f>
        <v>457.71</v>
      </c>
    </row>
    <row r="210" spans="1:28" ht="14.25" x14ac:dyDescent="0.2">
      <c r="C210" s="23" t="str">
        <f>"Объем: "&amp;Source!I44&amp;"=16,3/"&amp;"100"</f>
        <v>Объем: 0,163=16,3/100</v>
      </c>
      <c r="F210" s="12"/>
      <c r="G210" s="12"/>
      <c r="H210" s="12"/>
    </row>
    <row r="211" spans="1:28" x14ac:dyDescent="0.2">
      <c r="C211" s="23" t="s">
        <v>1130</v>
      </c>
      <c r="D211" s="23">
        <f>Source!BA44</f>
        <v>6.71</v>
      </c>
    </row>
    <row r="212" spans="1:28" x14ac:dyDescent="0.2">
      <c r="C212" s="23" t="s">
        <v>1131</v>
      </c>
      <c r="D212" s="23">
        <f>Source!BB44</f>
        <v>6.71</v>
      </c>
    </row>
    <row r="213" spans="1:28" x14ac:dyDescent="0.2">
      <c r="C213" s="23" t="s">
        <v>1132</v>
      </c>
      <c r="D213" s="23">
        <f>Source!BC44</f>
        <v>6.71</v>
      </c>
    </row>
    <row r="214" spans="1:28" x14ac:dyDescent="0.2">
      <c r="C214" s="23" t="s">
        <v>1133</v>
      </c>
      <c r="D214" s="23">
        <f>Source!BS44</f>
        <v>6.71</v>
      </c>
    </row>
    <row r="215" spans="1:28" x14ac:dyDescent="0.2">
      <c r="C215" s="9" t="s">
        <v>1134</v>
      </c>
      <c r="D215" s="34"/>
      <c r="E215" s="34"/>
      <c r="F215" s="34">
        <f>Source!BZ44</f>
        <v>80</v>
      </c>
      <c r="G215" s="57">
        <f>(Source!AF44+Source!AE44)*Source!FX44/100</f>
        <v>492.34400000000011</v>
      </c>
      <c r="H215" s="57">
        <f>Source!X44</f>
        <v>538.49</v>
      </c>
    </row>
    <row r="216" spans="1:28" x14ac:dyDescent="0.2">
      <c r="C216" s="9" t="s">
        <v>1136</v>
      </c>
      <c r="D216" s="34"/>
      <c r="E216" s="34"/>
      <c r="F216" s="34">
        <f>Source!CA44</f>
        <v>68</v>
      </c>
      <c r="G216" s="57">
        <f>(Source!AF44+Source!AE44)*Source!FY44/100</f>
        <v>418.49240000000003</v>
      </c>
      <c r="H216" s="57">
        <f>Source!Y44</f>
        <v>457.71</v>
      </c>
    </row>
    <row r="217" spans="1:28" x14ac:dyDescent="0.2">
      <c r="C217" s="9" t="s">
        <v>1138</v>
      </c>
      <c r="D217" s="34"/>
      <c r="E217" s="34"/>
      <c r="F217" s="34"/>
      <c r="G217" s="57">
        <f>((Source!AF44+Source!AE44)*Source!FX44/100)+((Source!AF44+Source!AE44)*Source!FY44/100)+Source!AB44</f>
        <v>1551.8364000000001</v>
      </c>
      <c r="H217" s="57">
        <f>Source!O44+Source!X44+Source!Y44</f>
        <v>1697.2800000000002</v>
      </c>
    </row>
    <row r="219" spans="1:28" ht="15" x14ac:dyDescent="0.25">
      <c r="A219" s="58"/>
      <c r="B219" s="58"/>
      <c r="C219" s="71" t="str">
        <f>CONCATENATE("Итого по разделу: ",IF(Source!G46&lt;&gt;"Новый раздел", Source!G46, ""))</f>
        <v>Итого по разделу: Демонтаж</v>
      </c>
      <c r="D219" s="71"/>
      <c r="E219" s="71"/>
      <c r="F219" s="71"/>
      <c r="G219" s="58"/>
      <c r="H219" s="59">
        <f>IF(SUM(T39:T218)=0, "-", SUM(T39:T218))</f>
        <v>26417.289999999997</v>
      </c>
    </row>
    <row r="220" spans="1:28" ht="15" x14ac:dyDescent="0.25">
      <c r="A220" s="58"/>
      <c r="B220" s="58"/>
      <c r="C220" s="58"/>
      <c r="D220" s="58"/>
      <c r="E220" s="58"/>
      <c r="F220" s="58"/>
      <c r="G220" s="58"/>
      <c r="H220" s="58"/>
    </row>
    <row r="223" spans="1:28" ht="16.5" x14ac:dyDescent="0.25">
      <c r="A223" s="74" t="str">
        <f>CONCATENATE("Раздел: ",IF(Source!G75&lt;&gt;"Новый раздел", Source!G75, ""))</f>
        <v>Раздел: Монтаж</v>
      </c>
      <c r="B223" s="74"/>
      <c r="C223" s="74"/>
      <c r="D223" s="74"/>
      <c r="E223" s="74"/>
      <c r="F223" s="74"/>
      <c r="G223" s="74"/>
      <c r="H223" s="74"/>
    </row>
    <row r="224" spans="1:28" ht="57" x14ac:dyDescent="0.2">
      <c r="A224" s="46">
        <v>18</v>
      </c>
      <c r="B224" s="46" t="str">
        <f>Source!E79</f>
        <v>17</v>
      </c>
      <c r="C224" s="46" t="str">
        <f>Source!G79</f>
        <v>Установка блоков в наружных и внутренних дверных проемах в каменных стенах, площадь проема до 3 м2</v>
      </c>
      <c r="D224" s="46" t="str">
        <f>Source!F79</f>
        <v>10-01-039-01</v>
      </c>
      <c r="E224" s="31" t="str">
        <f>Source!H79</f>
        <v>100 м2</v>
      </c>
      <c r="F224" s="12">
        <f>Source!I79</f>
        <v>9.4500000000000001E-2</v>
      </c>
      <c r="G224" s="22">
        <f>Source!AB79</f>
        <v>4290</v>
      </c>
      <c r="H224" s="22">
        <f>Source!O79</f>
        <v>2720.27</v>
      </c>
      <c r="T224">
        <f>Source!O79+Source!X79+Source!Y79</f>
        <v>4105.1899999999996</v>
      </c>
      <c r="U224">
        <f>Source!P79</f>
        <v>1080.3800000000001</v>
      </c>
      <c r="V224">
        <f>Source!S79</f>
        <v>719.2</v>
      </c>
      <c r="W224">
        <f>Source!Q79</f>
        <v>920.69</v>
      </c>
      <c r="X224">
        <f>Source!R79</f>
        <v>146.38</v>
      </c>
      <c r="Y224">
        <f>Source!U79</f>
        <v>11.675607299999999</v>
      </c>
      <c r="Z224">
        <f>Source!V79</f>
        <v>1.65564</v>
      </c>
      <c r="AA224">
        <f>Source!X79</f>
        <v>917.51</v>
      </c>
      <c r="AB224">
        <f>Source!Y79</f>
        <v>467.41</v>
      </c>
    </row>
    <row r="225" spans="1:28" ht="14.25" x14ac:dyDescent="0.2">
      <c r="C225" s="23" t="str">
        <f>"Объем: "&amp;Source!I79&amp;"=9,45/"&amp;"100"</f>
        <v>Объем: 0,0945=9,45/100</v>
      </c>
      <c r="F225" s="12"/>
      <c r="G225" s="12"/>
      <c r="H225" s="12"/>
    </row>
    <row r="226" spans="1:28" x14ac:dyDescent="0.2">
      <c r="C226" s="23" t="s">
        <v>1130</v>
      </c>
      <c r="D226" s="23">
        <f>Source!BA79</f>
        <v>6.71</v>
      </c>
    </row>
    <row r="227" spans="1:28" x14ac:dyDescent="0.2">
      <c r="C227" s="23" t="s">
        <v>1131</v>
      </c>
      <c r="D227" s="23">
        <f>Source!BB79</f>
        <v>6.71</v>
      </c>
    </row>
    <row r="228" spans="1:28" x14ac:dyDescent="0.2">
      <c r="C228" s="23" t="s">
        <v>1132</v>
      </c>
      <c r="D228" s="23">
        <f>Source!BC79</f>
        <v>6.71</v>
      </c>
    </row>
    <row r="229" spans="1:28" x14ac:dyDescent="0.2">
      <c r="C229" s="23" t="s">
        <v>1133</v>
      </c>
      <c r="D229" s="23">
        <f>Source!BS79</f>
        <v>6.71</v>
      </c>
    </row>
    <row r="230" spans="1:28" x14ac:dyDescent="0.2">
      <c r="C230" s="23" t="s">
        <v>1140</v>
      </c>
      <c r="D230" s="88" t="s">
        <v>174</v>
      </c>
      <c r="E230" s="88"/>
      <c r="F230" s="88"/>
      <c r="G230" s="88"/>
      <c r="H230" s="88"/>
    </row>
    <row r="231" spans="1:28" x14ac:dyDescent="0.2">
      <c r="C231" s="23" t="s">
        <v>1141</v>
      </c>
      <c r="D231" s="88" t="s">
        <v>174</v>
      </c>
      <c r="E231" s="88"/>
      <c r="F231" s="88"/>
      <c r="G231" s="88"/>
      <c r="H231" s="88"/>
    </row>
    <row r="232" spans="1:28" x14ac:dyDescent="0.2">
      <c r="C232" s="23" t="s">
        <v>1142</v>
      </c>
      <c r="D232" s="88" t="s">
        <v>175</v>
      </c>
      <c r="E232" s="88"/>
      <c r="F232" s="88"/>
      <c r="G232" s="88"/>
      <c r="H232" s="88"/>
    </row>
    <row r="233" spans="1:28" x14ac:dyDescent="0.2">
      <c r="C233" s="23" t="s">
        <v>1143</v>
      </c>
      <c r="D233" s="88" t="s">
        <v>175</v>
      </c>
      <c r="E233" s="88"/>
      <c r="F233" s="88"/>
      <c r="G233" s="88"/>
      <c r="H233" s="88"/>
    </row>
    <row r="234" spans="1:28" x14ac:dyDescent="0.2">
      <c r="C234" s="23" t="s">
        <v>1144</v>
      </c>
      <c r="D234" s="88" t="s">
        <v>174</v>
      </c>
      <c r="E234" s="88"/>
      <c r="F234" s="88"/>
      <c r="G234" s="88"/>
      <c r="H234" s="88"/>
    </row>
    <row r="235" spans="1:28" x14ac:dyDescent="0.2">
      <c r="C235" s="9" t="s">
        <v>1134</v>
      </c>
      <c r="D235" s="34"/>
      <c r="E235" s="34"/>
      <c r="F235" s="34">
        <f>Source!BZ79</f>
        <v>118</v>
      </c>
      <c r="G235" s="57">
        <f>(Source!AF79+Source!AE79)*Source!FX79/100</f>
        <v>1449.69372</v>
      </c>
      <c r="H235" s="57">
        <f>Source!X79</f>
        <v>917.51</v>
      </c>
    </row>
    <row r="236" spans="1:28" x14ac:dyDescent="0.2">
      <c r="C236" s="9" t="s">
        <v>1135</v>
      </c>
      <c r="D236" s="34"/>
      <c r="E236" s="34"/>
      <c r="F236" s="34"/>
      <c r="G236" s="34" t="str">
        <f>CONCATENATE(Source!DL79,Source!FT79, "=", Source!FX79, "%")</f>
        <v>*0,9=106,2%</v>
      </c>
      <c r="H236" s="34" t="str">
        <f>CONCATENATE(Source!AT79)</f>
        <v>106</v>
      </c>
    </row>
    <row r="237" spans="1:28" x14ac:dyDescent="0.2">
      <c r="C237" s="9" t="s">
        <v>1136</v>
      </c>
      <c r="D237" s="34"/>
      <c r="E237" s="34"/>
      <c r="F237" s="34">
        <f>Source!CA79</f>
        <v>63</v>
      </c>
      <c r="G237" s="57">
        <f>(Source!AF79+Source!AE79)*Source!FY79/100</f>
        <v>730.98962999999992</v>
      </c>
      <c r="H237" s="57">
        <f>Source!Y79</f>
        <v>467.41</v>
      </c>
    </row>
    <row r="238" spans="1:28" x14ac:dyDescent="0.2">
      <c r="C238" s="9" t="s">
        <v>1137</v>
      </c>
      <c r="D238" s="34"/>
      <c r="E238" s="34"/>
      <c r="F238" s="34"/>
      <c r="G238" s="34" t="str">
        <f>CONCATENATE(Source!DM79,Source!FU79, "=", Source!FY79, "%")</f>
        <v>*0,85=53,55%</v>
      </c>
      <c r="H238" s="34" t="str">
        <f>CONCATENATE(Source!AU79)</f>
        <v>54</v>
      </c>
    </row>
    <row r="239" spans="1:28" x14ac:dyDescent="0.2">
      <c r="C239" s="9" t="s">
        <v>1138</v>
      </c>
      <c r="D239" s="34"/>
      <c r="E239" s="34"/>
      <c r="F239" s="34"/>
      <c r="G239" s="57">
        <f>((Source!AF79+Source!AE79)*Source!FX79/100)+((Source!AF79+Source!AE79)*Source!FY79/100)+Source!AB79</f>
        <v>6470.6833499999993</v>
      </c>
      <c r="H239" s="57">
        <f>Source!O79+Source!X79+Source!Y79</f>
        <v>4105.1899999999996</v>
      </c>
    </row>
    <row r="240" spans="1:28" ht="28.5" x14ac:dyDescent="0.2">
      <c r="A240" s="46">
        <v>19</v>
      </c>
      <c r="B240" s="46" t="str">
        <f>Source!E81</f>
        <v>17,2</v>
      </c>
      <c r="C240" s="46" t="str">
        <f>Source!G81</f>
        <v>Скобяные изделия для блоков входных однопольных</v>
      </c>
      <c r="D240" s="46" t="str">
        <f>Source!F81</f>
        <v>01.7.04.07-0011</v>
      </c>
      <c r="E240" s="31" t="str">
        <f>Source!H81</f>
        <v>компл.</v>
      </c>
      <c r="F240" s="12">
        <f>Source!I81</f>
        <v>5</v>
      </c>
      <c r="G240" s="22">
        <f>Source!AB81</f>
        <v>94.68</v>
      </c>
      <c r="H240" s="22">
        <f>Source!O81</f>
        <v>3176.51</v>
      </c>
      <c r="T240">
        <f>Source!O81+Source!X81+Source!Y81</f>
        <v>3176.51</v>
      </c>
      <c r="U240">
        <f>Source!P81</f>
        <v>3176.51</v>
      </c>
      <c r="V240">
        <f>Source!S81</f>
        <v>0</v>
      </c>
      <c r="W240">
        <f>Source!Q81</f>
        <v>0</v>
      </c>
      <c r="X240">
        <f>Source!R81</f>
        <v>0</v>
      </c>
      <c r="Y240">
        <f>Source!U81</f>
        <v>0</v>
      </c>
      <c r="Z240">
        <f>Source!V81</f>
        <v>0</v>
      </c>
      <c r="AA240">
        <f>Source!X81</f>
        <v>0</v>
      </c>
      <c r="AB240">
        <f>Source!Y81</f>
        <v>0</v>
      </c>
    </row>
    <row r="241" spans="1:28" ht="14.25" x14ac:dyDescent="0.2">
      <c r="C241" s="23" t="s">
        <v>1132</v>
      </c>
      <c r="D241" s="23">
        <f>Source!BC81</f>
        <v>6.71</v>
      </c>
      <c r="F241" s="12"/>
      <c r="G241" s="12"/>
      <c r="H241" s="12"/>
    </row>
    <row r="242" spans="1:28" ht="14.25" x14ac:dyDescent="0.2">
      <c r="A242" s="46">
        <v>20</v>
      </c>
      <c r="B242" s="46" t="str">
        <f>Source!E82</f>
        <v>17,3</v>
      </c>
      <c r="C242" s="46" t="str">
        <f>Source!G82</f>
        <v>Блоки дверные</v>
      </c>
      <c r="D242" s="46" t="str">
        <f>Source!F82</f>
        <v>11.2.02.01</v>
      </c>
      <c r="E242" s="31" t="str">
        <f>Source!H82</f>
        <v>м2</v>
      </c>
      <c r="F242" s="12">
        <f>Source!I82</f>
        <v>9.4499999999999993</v>
      </c>
      <c r="G242" s="22">
        <f>Source!AB82</f>
        <v>0</v>
      </c>
      <c r="H242" s="22">
        <f>Source!O82</f>
        <v>0</v>
      </c>
      <c r="T242">
        <f>Source!O82+Source!X82+Source!Y82</f>
        <v>0</v>
      </c>
      <c r="U242">
        <f>Source!P82</f>
        <v>0</v>
      </c>
      <c r="V242">
        <f>Source!S82</f>
        <v>0</v>
      </c>
      <c r="W242">
        <f>Source!Q82</f>
        <v>0</v>
      </c>
      <c r="X242">
        <f>Source!R82</f>
        <v>0</v>
      </c>
      <c r="Y242">
        <f>Source!U82</f>
        <v>0</v>
      </c>
      <c r="Z242">
        <f>Source!V82</f>
        <v>0</v>
      </c>
      <c r="AA242">
        <f>Source!X82</f>
        <v>0</v>
      </c>
      <c r="AB242">
        <f>Source!Y82</f>
        <v>0</v>
      </c>
    </row>
    <row r="243" spans="1:28" ht="14.25" x14ac:dyDescent="0.2">
      <c r="C243" s="23" t="s">
        <v>1132</v>
      </c>
      <c r="D243" s="23">
        <f>Source!BC82</f>
        <v>6.71</v>
      </c>
      <c r="F243" s="12"/>
      <c r="G243" s="12"/>
      <c r="H243" s="12"/>
    </row>
    <row r="244" spans="1:28" ht="42.75" x14ac:dyDescent="0.2">
      <c r="A244" s="46">
        <v>21</v>
      </c>
      <c r="B244" s="46" t="str">
        <f>Source!E83</f>
        <v>17,4</v>
      </c>
      <c r="C244" s="46" t="str">
        <f>Source!G83</f>
        <v>Блоки дверные внутренние однопольные глухие шлифованные, из массива сосны, тонированные</v>
      </c>
      <c r="D244" s="46" t="str">
        <f>Source!F83</f>
        <v>11.2.02.01-0032</v>
      </c>
      <c r="E244" s="31" t="str">
        <f>Source!H83</f>
        <v>м2</v>
      </c>
      <c r="F244" s="12">
        <f>Source!I83</f>
        <v>9.4499999999999993</v>
      </c>
      <c r="G244" s="22">
        <f>Source!AB83</f>
        <v>1448.8</v>
      </c>
      <c r="H244" s="22">
        <f>Source!O83</f>
        <v>91867.68</v>
      </c>
      <c r="T244">
        <f>Source!O83+Source!X83+Source!Y83</f>
        <v>91867.68</v>
      </c>
      <c r="U244">
        <f>Source!P83</f>
        <v>91867.68</v>
      </c>
      <c r="V244">
        <f>Source!S83</f>
        <v>0</v>
      </c>
      <c r="W244">
        <f>Source!Q83</f>
        <v>0</v>
      </c>
      <c r="X244">
        <f>Source!R83</f>
        <v>0</v>
      </c>
      <c r="Y244">
        <f>Source!U83</f>
        <v>0</v>
      </c>
      <c r="Z244">
        <f>Source!V83</f>
        <v>0</v>
      </c>
      <c r="AA244">
        <f>Source!X83</f>
        <v>0</v>
      </c>
      <c r="AB244">
        <f>Source!Y83</f>
        <v>0</v>
      </c>
    </row>
    <row r="245" spans="1:28" ht="14.25" x14ac:dyDescent="0.2">
      <c r="C245" s="23" t="s">
        <v>1132</v>
      </c>
      <c r="D245" s="23">
        <f>Source!BC83</f>
        <v>6.71</v>
      </c>
      <c r="F245" s="12"/>
      <c r="G245" s="12"/>
      <c r="H245" s="12"/>
    </row>
    <row r="246" spans="1:28" ht="28.5" x14ac:dyDescent="0.2">
      <c r="A246" s="46">
        <v>22</v>
      </c>
      <c r="B246" s="46" t="str">
        <f>Source!E84</f>
        <v>18</v>
      </c>
      <c r="C246" s="46" t="str">
        <f>Source!G84</f>
        <v>Установка и крепление наличников</v>
      </c>
      <c r="D246" s="46" t="str">
        <f>Source!F84</f>
        <v>10-01-060-01</v>
      </c>
      <c r="E246" s="31" t="str">
        <f>Source!H84</f>
        <v>100 м</v>
      </c>
      <c r="F246" s="12">
        <f>Source!I84</f>
        <v>0.5</v>
      </c>
      <c r="G246" s="22">
        <f>Source!AB84</f>
        <v>100.62</v>
      </c>
      <c r="H246" s="22">
        <f>Source!O84</f>
        <v>337.58</v>
      </c>
      <c r="T246">
        <f>Source!O84+Source!X84+Source!Y84</f>
        <v>814.56999999999994</v>
      </c>
      <c r="U246">
        <f>Source!P84</f>
        <v>28.52</v>
      </c>
      <c r="V246">
        <f>Source!S84</f>
        <v>295.81</v>
      </c>
      <c r="W246">
        <f>Source!Q84</f>
        <v>13.25</v>
      </c>
      <c r="X246">
        <f>Source!R84</f>
        <v>2.31</v>
      </c>
      <c r="Y246">
        <f>Source!U84</f>
        <v>5.3958000000000004</v>
      </c>
      <c r="Z246">
        <f>Source!V84</f>
        <v>0.03</v>
      </c>
      <c r="AA246">
        <f>Source!X84</f>
        <v>316.01</v>
      </c>
      <c r="AB246">
        <f>Source!Y84</f>
        <v>160.97999999999999</v>
      </c>
    </row>
    <row r="247" spans="1:28" ht="14.25" x14ac:dyDescent="0.2">
      <c r="C247" s="23" t="str">
        <f>"Объем: "&amp;Source!I84&amp;"=50/"&amp;"100"</f>
        <v>Объем: 0,5=50/100</v>
      </c>
      <c r="F247" s="12"/>
      <c r="G247" s="12"/>
      <c r="H247" s="12"/>
    </row>
    <row r="248" spans="1:28" x14ac:dyDescent="0.2">
      <c r="C248" s="23" t="s">
        <v>1130</v>
      </c>
      <c r="D248" s="23">
        <f>Source!BA84</f>
        <v>6.71</v>
      </c>
    </row>
    <row r="249" spans="1:28" x14ac:dyDescent="0.2">
      <c r="C249" s="23" t="s">
        <v>1131</v>
      </c>
      <c r="D249" s="23">
        <f>Source!BB84</f>
        <v>6.71</v>
      </c>
    </row>
    <row r="250" spans="1:28" x14ac:dyDescent="0.2">
      <c r="C250" s="23" t="s">
        <v>1132</v>
      </c>
      <c r="D250" s="23">
        <f>Source!BC84</f>
        <v>6.71</v>
      </c>
    </row>
    <row r="251" spans="1:28" x14ac:dyDescent="0.2">
      <c r="C251" s="23" t="s">
        <v>1133</v>
      </c>
      <c r="D251" s="23">
        <f>Source!BS84</f>
        <v>6.71</v>
      </c>
    </row>
    <row r="252" spans="1:28" x14ac:dyDescent="0.2">
      <c r="C252" s="23" t="s">
        <v>1140</v>
      </c>
      <c r="D252" s="88" t="s">
        <v>174</v>
      </c>
      <c r="E252" s="88"/>
      <c r="F252" s="88"/>
      <c r="G252" s="88"/>
      <c r="H252" s="88"/>
    </row>
    <row r="253" spans="1:28" x14ac:dyDescent="0.2">
      <c r="C253" s="23" t="s">
        <v>1141</v>
      </c>
      <c r="D253" s="88" t="s">
        <v>174</v>
      </c>
      <c r="E253" s="88"/>
      <c r="F253" s="88"/>
      <c r="G253" s="88"/>
      <c r="H253" s="88"/>
    </row>
    <row r="254" spans="1:28" x14ac:dyDescent="0.2">
      <c r="C254" s="23" t="s">
        <v>1142</v>
      </c>
      <c r="D254" s="88" t="s">
        <v>175</v>
      </c>
      <c r="E254" s="88"/>
      <c r="F254" s="88"/>
      <c r="G254" s="88"/>
      <c r="H254" s="88"/>
    </row>
    <row r="255" spans="1:28" x14ac:dyDescent="0.2">
      <c r="C255" s="23" t="s">
        <v>1143</v>
      </c>
      <c r="D255" s="88" t="s">
        <v>175</v>
      </c>
      <c r="E255" s="88"/>
      <c r="F255" s="88"/>
      <c r="G255" s="88"/>
      <c r="H255" s="88"/>
    </row>
    <row r="256" spans="1:28" x14ac:dyDescent="0.2">
      <c r="C256" s="23" t="s">
        <v>1144</v>
      </c>
      <c r="D256" s="88" t="s">
        <v>174</v>
      </c>
      <c r="E256" s="88"/>
      <c r="F256" s="88"/>
      <c r="G256" s="88"/>
      <c r="H256" s="88"/>
    </row>
    <row r="257" spans="1:28" x14ac:dyDescent="0.2">
      <c r="C257" s="9" t="s">
        <v>1134</v>
      </c>
      <c r="D257" s="34"/>
      <c r="E257" s="34"/>
      <c r="F257" s="34">
        <f>Source!BZ84</f>
        <v>118</v>
      </c>
      <c r="G257" s="57">
        <f>(Source!AF84+Source!AE84)*Source!FX84/100</f>
        <v>94.369320000000002</v>
      </c>
      <c r="H257" s="57">
        <f>Source!X84</f>
        <v>316.01</v>
      </c>
    </row>
    <row r="258" spans="1:28" x14ac:dyDescent="0.2">
      <c r="C258" s="9" t="s">
        <v>1135</v>
      </c>
      <c r="D258" s="34"/>
      <c r="E258" s="34"/>
      <c r="F258" s="34"/>
      <c r="G258" s="34" t="str">
        <f>CONCATENATE(Source!DL84,Source!FT84, "=", Source!FX84, "%")</f>
        <v>*0,9=106,2%</v>
      </c>
      <c r="H258" s="34" t="str">
        <f>CONCATENATE(Source!AT84)</f>
        <v>106</v>
      </c>
    </row>
    <row r="259" spans="1:28" x14ac:dyDescent="0.2">
      <c r="C259" s="9" t="s">
        <v>1136</v>
      </c>
      <c r="D259" s="34"/>
      <c r="E259" s="34"/>
      <c r="F259" s="34">
        <f>Source!CA84</f>
        <v>63</v>
      </c>
      <c r="G259" s="57">
        <f>(Source!AF84+Source!AE84)*Source!FY84/100</f>
        <v>47.584529999999994</v>
      </c>
      <c r="H259" s="57">
        <f>Source!Y84</f>
        <v>160.97999999999999</v>
      </c>
    </row>
    <row r="260" spans="1:28" x14ac:dyDescent="0.2">
      <c r="C260" s="9" t="s">
        <v>1137</v>
      </c>
      <c r="D260" s="34"/>
      <c r="E260" s="34"/>
      <c r="F260" s="34"/>
      <c r="G260" s="34" t="str">
        <f>CONCATENATE(Source!DM84,Source!FU84, "=", Source!FY84, "%")</f>
        <v>*0,85=53,55%</v>
      </c>
      <c r="H260" s="34" t="str">
        <f>CONCATENATE(Source!AU84)</f>
        <v>54</v>
      </c>
    </row>
    <row r="261" spans="1:28" x14ac:dyDescent="0.2">
      <c r="C261" s="9" t="s">
        <v>1138</v>
      </c>
      <c r="D261" s="34"/>
      <c r="E261" s="34"/>
      <c r="F261" s="34"/>
      <c r="G261" s="57">
        <f>((Source!AF84+Source!AE84)*Source!FX84/100)+((Source!AF84+Source!AE84)*Source!FY84/100)+Source!AB84</f>
        <v>242.57384999999999</v>
      </c>
      <c r="H261" s="57">
        <f>Source!O84+Source!X84+Source!Y84</f>
        <v>814.56999999999994</v>
      </c>
    </row>
    <row r="262" spans="1:28" ht="14.25" x14ac:dyDescent="0.2">
      <c r="A262" s="46">
        <v>23</v>
      </c>
      <c r="B262" s="46" t="str">
        <f>Source!E85</f>
        <v>18,1</v>
      </c>
      <c r="C262" s="46" t="str">
        <f>Source!G85</f>
        <v>Наличники</v>
      </c>
      <c r="D262" s="46" t="str">
        <f>Source!F85</f>
        <v>11.1.01.10</v>
      </c>
      <c r="E262" s="31" t="str">
        <f>Source!H85</f>
        <v>м</v>
      </c>
      <c r="F262" s="12">
        <f>Source!I85</f>
        <v>56</v>
      </c>
      <c r="G262" s="22">
        <f>Source!AB85</f>
        <v>0</v>
      </c>
      <c r="H262" s="22">
        <f>Source!O85</f>
        <v>0</v>
      </c>
      <c r="T262">
        <f>Source!O85+Source!X85+Source!Y85</f>
        <v>0</v>
      </c>
      <c r="U262">
        <f>Source!P85</f>
        <v>0</v>
      </c>
      <c r="V262">
        <f>Source!S85</f>
        <v>0</v>
      </c>
      <c r="W262">
        <f>Source!Q85</f>
        <v>0</v>
      </c>
      <c r="X262">
        <f>Source!R85</f>
        <v>0</v>
      </c>
      <c r="Y262">
        <f>Source!U85</f>
        <v>0</v>
      </c>
      <c r="Z262">
        <f>Source!V85</f>
        <v>0</v>
      </c>
      <c r="AA262">
        <f>Source!X85</f>
        <v>0</v>
      </c>
      <c r="AB262">
        <f>Source!Y85</f>
        <v>0</v>
      </c>
    </row>
    <row r="263" spans="1:28" ht="14.25" x14ac:dyDescent="0.2">
      <c r="C263" s="23" t="s">
        <v>1132</v>
      </c>
      <c r="D263" s="23">
        <f>Source!BC85</f>
        <v>6.71</v>
      </c>
      <c r="F263" s="12"/>
      <c r="G263" s="12"/>
      <c r="H263" s="12"/>
    </row>
    <row r="264" spans="1:28" ht="28.5" x14ac:dyDescent="0.2">
      <c r="A264" s="46">
        <v>24</v>
      </c>
      <c r="B264" s="46" t="str">
        <f>Source!E86</f>
        <v>18,2</v>
      </c>
      <c r="C264" s="46" t="str">
        <f>Source!G86</f>
        <v>Наличники из древесины типа Н-1, Н-2 размером 13х54 мм</v>
      </c>
      <c r="D264" s="46" t="str">
        <f>Source!F86</f>
        <v>11.1.01.10-0003</v>
      </c>
      <c r="E264" s="31" t="str">
        <f>Source!H86</f>
        <v>м</v>
      </c>
      <c r="F264" s="12">
        <f>Source!I86</f>
        <v>56</v>
      </c>
      <c r="G264" s="22">
        <f>Source!AB86</f>
        <v>3.93</v>
      </c>
      <c r="H264" s="22">
        <f>Source!O86</f>
        <v>1476.74</v>
      </c>
      <c r="T264">
        <f>Source!O86+Source!X86+Source!Y86</f>
        <v>1476.74</v>
      </c>
      <c r="U264">
        <f>Source!P86</f>
        <v>1476.74</v>
      </c>
      <c r="V264">
        <f>Source!S86</f>
        <v>0</v>
      </c>
      <c r="W264">
        <f>Source!Q86</f>
        <v>0</v>
      </c>
      <c r="X264">
        <f>Source!R86</f>
        <v>0</v>
      </c>
      <c r="Y264">
        <f>Source!U86</f>
        <v>0</v>
      </c>
      <c r="Z264">
        <f>Source!V86</f>
        <v>0</v>
      </c>
      <c r="AA264">
        <f>Source!X86</f>
        <v>0</v>
      </c>
      <c r="AB264">
        <f>Source!Y86</f>
        <v>0</v>
      </c>
    </row>
    <row r="265" spans="1:28" ht="14.25" x14ac:dyDescent="0.2">
      <c r="C265" s="23" t="s">
        <v>1132</v>
      </c>
      <c r="D265" s="23">
        <f>Source!BC86</f>
        <v>6.71</v>
      </c>
      <c r="F265" s="12"/>
      <c r="G265" s="12"/>
      <c r="H265" s="12"/>
    </row>
    <row r="266" spans="1:28" ht="71.25" x14ac:dyDescent="0.2">
      <c r="A266" s="46">
        <v>25</v>
      </c>
      <c r="B266" s="46" t="str">
        <f>Source!E87</f>
        <v>19</v>
      </c>
      <c r="C266" s="46" t="str">
        <f>Source!G87</f>
        <v>Ремонт штукатурки внутренних стен по камню и бетону цементно-известковым раствором, площадью отдельных мест до 1 м2 толщиной слоя до 20 мм</v>
      </c>
      <c r="D266" s="46" t="str">
        <f>Source!F87</f>
        <v>61-2-7</v>
      </c>
      <c r="E266" s="31" t="str">
        <f>Source!H87</f>
        <v>100 м2</v>
      </c>
      <c r="F266" s="12">
        <f>Source!I87</f>
        <v>0.14399999999999999</v>
      </c>
      <c r="G266" s="22">
        <f>Source!AB87</f>
        <v>3184.37</v>
      </c>
      <c r="H266" s="22">
        <f>Source!O87</f>
        <v>3076.87</v>
      </c>
      <c r="T266">
        <f>Source!O87+Source!X87+Source!Y87</f>
        <v>5609.9400000000005</v>
      </c>
      <c r="U266">
        <f>Source!P87</f>
        <v>1101.76</v>
      </c>
      <c r="V266">
        <f>Source!S87</f>
        <v>1954.88</v>
      </c>
      <c r="W266">
        <f>Source!Q87</f>
        <v>20.23</v>
      </c>
      <c r="X266">
        <f>Source!R87</f>
        <v>8.74</v>
      </c>
      <c r="Y266">
        <f>Source!U87</f>
        <v>32.882399999999997</v>
      </c>
      <c r="Z266">
        <f>Source!V87</f>
        <v>9.6479999999999996E-2</v>
      </c>
      <c r="AA266">
        <f>Source!X87</f>
        <v>1551.26</v>
      </c>
      <c r="AB266">
        <f>Source!Y87</f>
        <v>981.81</v>
      </c>
    </row>
    <row r="267" spans="1:28" ht="14.25" x14ac:dyDescent="0.2">
      <c r="C267" s="23" t="str">
        <f>"Объем: "&amp;Source!I87&amp;"=14,4/"&amp;"100"</f>
        <v>Объем: 0,144=14,4/100</v>
      </c>
      <c r="F267" s="12"/>
      <c r="G267" s="12"/>
      <c r="H267" s="12"/>
    </row>
    <row r="268" spans="1:28" x14ac:dyDescent="0.2">
      <c r="C268" s="23" t="s">
        <v>1130</v>
      </c>
      <c r="D268" s="23">
        <f>Source!BA87</f>
        <v>6.71</v>
      </c>
    </row>
    <row r="269" spans="1:28" x14ac:dyDescent="0.2">
      <c r="C269" s="23" t="s">
        <v>1131</v>
      </c>
      <c r="D269" s="23">
        <f>Source!BB87</f>
        <v>6.71</v>
      </c>
    </row>
    <row r="270" spans="1:28" x14ac:dyDescent="0.2">
      <c r="C270" s="23" t="s">
        <v>1132</v>
      </c>
      <c r="D270" s="23">
        <f>Source!BC87</f>
        <v>6.71</v>
      </c>
    </row>
    <row r="271" spans="1:28" x14ac:dyDescent="0.2">
      <c r="C271" s="23" t="s">
        <v>1133</v>
      </c>
      <c r="D271" s="23">
        <f>Source!BS87</f>
        <v>6.71</v>
      </c>
    </row>
    <row r="272" spans="1:28" x14ac:dyDescent="0.2">
      <c r="C272" s="9" t="s">
        <v>1134</v>
      </c>
      <c r="D272" s="34"/>
      <c r="E272" s="34"/>
      <c r="F272" s="34">
        <f>Source!BZ87</f>
        <v>79</v>
      </c>
      <c r="G272" s="57">
        <f>(Source!AF87+Source!AE87)*Source!FX87/100</f>
        <v>1605.4617000000001</v>
      </c>
      <c r="H272" s="57">
        <f>Source!X87</f>
        <v>1551.26</v>
      </c>
    </row>
    <row r="273" spans="1:28" x14ac:dyDescent="0.2">
      <c r="C273" s="9" t="s">
        <v>1136</v>
      </c>
      <c r="D273" s="34"/>
      <c r="E273" s="34"/>
      <c r="F273" s="34">
        <f>Source!CA87</f>
        <v>50</v>
      </c>
      <c r="G273" s="57">
        <f>(Source!AF87+Source!AE87)*Source!FY87/100</f>
        <v>1016.115</v>
      </c>
      <c r="H273" s="57">
        <f>Source!Y87</f>
        <v>981.81</v>
      </c>
    </row>
    <row r="274" spans="1:28" x14ac:dyDescent="0.2">
      <c r="C274" s="9" t="s">
        <v>1138</v>
      </c>
      <c r="D274" s="34"/>
      <c r="E274" s="34"/>
      <c r="F274" s="34"/>
      <c r="G274" s="57">
        <f>((Source!AF87+Source!AE87)*Source!FX87/100)+((Source!AF87+Source!AE87)*Source!FY87/100)+Source!AB87</f>
        <v>5805.9467000000004</v>
      </c>
      <c r="H274" s="57">
        <f>Source!O87+Source!X87+Source!Y87</f>
        <v>5609.9400000000005</v>
      </c>
    </row>
    <row r="275" spans="1:28" ht="28.5" x14ac:dyDescent="0.2">
      <c r="A275" s="46">
        <v>26</v>
      </c>
      <c r="B275" s="46" t="str">
        <f>Source!E88</f>
        <v>20</v>
      </c>
      <c r="C275" s="46" t="str">
        <f>Source!G88</f>
        <v>Протравка цементной штукатурки нейтрализующим раствором</v>
      </c>
      <c r="D275" s="46" t="str">
        <f>Source!F88</f>
        <v>62-42-1</v>
      </c>
      <c r="E275" s="31" t="str">
        <f>Source!H88</f>
        <v>100 м2</v>
      </c>
      <c r="F275" s="12">
        <f>Source!I88</f>
        <v>0.46610000000000001</v>
      </c>
      <c r="G275" s="22">
        <f>Source!AB88</f>
        <v>37.1</v>
      </c>
      <c r="H275" s="22">
        <f>Source!O88</f>
        <v>116.03</v>
      </c>
      <c r="T275">
        <f>Source!O88+Source!X88+Source!Y88</f>
        <v>235.60000000000002</v>
      </c>
      <c r="U275">
        <f>Source!P88</f>
        <v>24.05</v>
      </c>
      <c r="V275">
        <f>Source!S88</f>
        <v>91.98</v>
      </c>
      <c r="W275">
        <f>Source!Q88</f>
        <v>0</v>
      </c>
      <c r="X275">
        <f>Source!R88</f>
        <v>0</v>
      </c>
      <c r="Y275">
        <f>Source!U88</f>
        <v>1.7571970000000001</v>
      </c>
      <c r="Z275">
        <f>Source!V88</f>
        <v>0</v>
      </c>
      <c r="AA275">
        <f>Source!X88</f>
        <v>73.58</v>
      </c>
      <c r="AB275">
        <f>Source!Y88</f>
        <v>45.99</v>
      </c>
    </row>
    <row r="276" spans="1:28" ht="14.25" x14ac:dyDescent="0.2">
      <c r="C276" s="23" t="str">
        <f>"Объем: "&amp;Source!I88&amp;"=46,61/"&amp;"100"</f>
        <v>Объем: 0,4661=46,61/100</v>
      </c>
      <c r="F276" s="12"/>
      <c r="G276" s="12"/>
      <c r="H276" s="12"/>
    </row>
    <row r="277" spans="1:28" x14ac:dyDescent="0.2">
      <c r="C277" s="23" t="s">
        <v>1130</v>
      </c>
      <c r="D277" s="23">
        <f>Source!BA88</f>
        <v>6.71</v>
      </c>
    </row>
    <row r="278" spans="1:28" x14ac:dyDescent="0.2">
      <c r="C278" s="23" t="s">
        <v>1131</v>
      </c>
      <c r="D278" s="23">
        <f>Source!BB88</f>
        <v>6.71</v>
      </c>
    </row>
    <row r="279" spans="1:28" x14ac:dyDescent="0.2">
      <c r="C279" s="23" t="s">
        <v>1132</v>
      </c>
      <c r="D279" s="23">
        <f>Source!BC88</f>
        <v>6.71</v>
      </c>
    </row>
    <row r="280" spans="1:28" x14ac:dyDescent="0.2">
      <c r="C280" s="23" t="s">
        <v>1133</v>
      </c>
      <c r="D280" s="23">
        <f>Source!BS88</f>
        <v>6.71</v>
      </c>
    </row>
    <row r="281" spans="1:28" x14ac:dyDescent="0.2">
      <c r="C281" s="9" t="s">
        <v>1134</v>
      </c>
      <c r="D281" s="34"/>
      <c r="E281" s="34"/>
      <c r="F281" s="34">
        <f>Source!BZ88</f>
        <v>80</v>
      </c>
      <c r="G281" s="57">
        <f>(Source!AF88+Source!AE88)*Source!FX88/100</f>
        <v>23.528000000000002</v>
      </c>
      <c r="H281" s="57">
        <f>Source!X88</f>
        <v>73.58</v>
      </c>
    </row>
    <row r="282" spans="1:28" x14ac:dyDescent="0.2">
      <c r="C282" s="9" t="s">
        <v>1136</v>
      </c>
      <c r="D282" s="34"/>
      <c r="E282" s="34"/>
      <c r="F282" s="34">
        <f>Source!CA88</f>
        <v>50</v>
      </c>
      <c r="G282" s="57">
        <f>(Source!AF88+Source!AE88)*Source!FY88/100</f>
        <v>14.705</v>
      </c>
      <c r="H282" s="57">
        <f>Source!Y88</f>
        <v>45.99</v>
      </c>
    </row>
    <row r="283" spans="1:28" x14ac:dyDescent="0.2">
      <c r="C283" s="9" t="s">
        <v>1138</v>
      </c>
      <c r="D283" s="34"/>
      <c r="E283" s="34"/>
      <c r="F283" s="34"/>
      <c r="G283" s="57">
        <f>((Source!AF88+Source!AE88)*Source!FX88/100)+((Source!AF88+Source!AE88)*Source!FY88/100)+Source!AB88</f>
        <v>75.332999999999998</v>
      </c>
      <c r="H283" s="57">
        <f>Source!O88+Source!X88+Source!Y88</f>
        <v>235.60000000000002</v>
      </c>
    </row>
    <row r="284" spans="1:28" ht="28.5" x14ac:dyDescent="0.2">
      <c r="A284" s="46">
        <v>27</v>
      </c>
      <c r="B284" s="46" t="str">
        <f>Source!E89</f>
        <v>21</v>
      </c>
      <c r="C284" s="46" t="str">
        <f>Source!G89</f>
        <v>Покрытие поверхностей грунтовкой глубокого проникновения за 1 раз стен</v>
      </c>
      <c r="D284" s="46" t="str">
        <f>Source!F89</f>
        <v>15-04-006-03</v>
      </c>
      <c r="E284" s="31" t="str">
        <f>Source!H89</f>
        <v>100 м2</v>
      </c>
      <c r="F284" s="12">
        <f>Source!I89</f>
        <v>4.68</v>
      </c>
      <c r="G284" s="22">
        <f>Source!AB89</f>
        <v>88.59</v>
      </c>
      <c r="H284" s="22">
        <f>Source!O89</f>
        <v>2781.97</v>
      </c>
      <c r="T284">
        <f>Source!O89+Source!X89+Source!Y89</f>
        <v>6676.6299999999992</v>
      </c>
      <c r="U284">
        <f>Source!P89</f>
        <v>5.65</v>
      </c>
      <c r="V284">
        <f>Source!S89</f>
        <v>2730.47</v>
      </c>
      <c r="W284">
        <f>Source!Q89</f>
        <v>45.85</v>
      </c>
      <c r="X284">
        <f>Source!R89</f>
        <v>12.25</v>
      </c>
      <c r="Y284">
        <f>Source!U89</f>
        <v>42.302519999999987</v>
      </c>
      <c r="Z284">
        <f>Source!V89</f>
        <v>0.1404</v>
      </c>
      <c r="AA284">
        <f>Source!X89</f>
        <v>2605.58</v>
      </c>
      <c r="AB284">
        <f>Source!Y89</f>
        <v>1289.08</v>
      </c>
    </row>
    <row r="285" spans="1:28" ht="14.25" x14ac:dyDescent="0.2">
      <c r="C285" s="23" t="str">
        <f>"Объем: "&amp;Source!I89&amp;"=468/"&amp;"100"</f>
        <v>Объем: 4,68=468/100</v>
      </c>
      <c r="F285" s="12"/>
      <c r="G285" s="12"/>
      <c r="H285" s="12"/>
    </row>
    <row r="286" spans="1:28" x14ac:dyDescent="0.2">
      <c r="C286" s="23" t="s">
        <v>1130</v>
      </c>
      <c r="D286" s="23">
        <f>Source!BA89</f>
        <v>6.71</v>
      </c>
    </row>
    <row r="287" spans="1:28" x14ac:dyDescent="0.2">
      <c r="C287" s="23" t="s">
        <v>1131</v>
      </c>
      <c r="D287" s="23">
        <f>Source!BB89</f>
        <v>6.71</v>
      </c>
    </row>
    <row r="288" spans="1:28" x14ac:dyDescent="0.2">
      <c r="C288" s="23" t="s">
        <v>1132</v>
      </c>
      <c r="D288" s="23">
        <f>Source!BC89</f>
        <v>6.71</v>
      </c>
    </row>
    <row r="289" spans="1:28" x14ac:dyDescent="0.2">
      <c r="C289" s="23" t="s">
        <v>1133</v>
      </c>
      <c r="D289" s="23">
        <f>Source!BS89</f>
        <v>6.71</v>
      </c>
    </row>
    <row r="290" spans="1:28" x14ac:dyDescent="0.2">
      <c r="C290" s="23" t="s">
        <v>1140</v>
      </c>
      <c r="D290" s="88" t="s">
        <v>174</v>
      </c>
      <c r="E290" s="88"/>
      <c r="F290" s="88"/>
      <c r="G290" s="88"/>
      <c r="H290" s="88"/>
    </row>
    <row r="291" spans="1:28" x14ac:dyDescent="0.2">
      <c r="C291" s="23" t="s">
        <v>1141</v>
      </c>
      <c r="D291" s="88" t="s">
        <v>174</v>
      </c>
      <c r="E291" s="88"/>
      <c r="F291" s="88"/>
      <c r="G291" s="88"/>
      <c r="H291" s="88"/>
    </row>
    <row r="292" spans="1:28" x14ac:dyDescent="0.2">
      <c r="C292" s="23" t="s">
        <v>1142</v>
      </c>
      <c r="D292" s="88" t="s">
        <v>175</v>
      </c>
      <c r="E292" s="88"/>
      <c r="F292" s="88"/>
      <c r="G292" s="88"/>
      <c r="H292" s="88"/>
    </row>
    <row r="293" spans="1:28" x14ac:dyDescent="0.2">
      <c r="C293" s="23" t="s">
        <v>1143</v>
      </c>
      <c r="D293" s="88" t="s">
        <v>175</v>
      </c>
      <c r="E293" s="88"/>
      <c r="F293" s="88"/>
      <c r="G293" s="88"/>
      <c r="H293" s="88"/>
    </row>
    <row r="294" spans="1:28" x14ac:dyDescent="0.2">
      <c r="C294" s="23" t="s">
        <v>1144</v>
      </c>
      <c r="D294" s="88" t="s">
        <v>174</v>
      </c>
      <c r="E294" s="88"/>
      <c r="F294" s="88"/>
      <c r="G294" s="88"/>
      <c r="H294" s="88"/>
    </row>
    <row r="295" spans="1:28" x14ac:dyDescent="0.2">
      <c r="C295" s="9" t="s">
        <v>1134</v>
      </c>
      <c r="D295" s="34"/>
      <c r="E295" s="34"/>
      <c r="F295" s="34">
        <f>Source!BZ89</f>
        <v>105</v>
      </c>
      <c r="G295" s="57">
        <f>(Source!AF89+Source!AE89)*Source!FX89/100</f>
        <v>82.536300000000011</v>
      </c>
      <c r="H295" s="57">
        <f>Source!X89</f>
        <v>2605.58</v>
      </c>
    </row>
    <row r="296" spans="1:28" x14ac:dyDescent="0.2">
      <c r="C296" s="9" t="s">
        <v>1135</v>
      </c>
      <c r="D296" s="34"/>
      <c r="E296" s="34"/>
      <c r="F296" s="34"/>
      <c r="G296" s="34" t="str">
        <f>CONCATENATE(Source!DL89,Source!FT89, "=", Source!FX89, "%")</f>
        <v>*0,9=94,5%</v>
      </c>
      <c r="H296" s="34" t="str">
        <f>CONCATENATE(Source!AT89)</f>
        <v>95</v>
      </c>
    </row>
    <row r="297" spans="1:28" x14ac:dyDescent="0.2">
      <c r="C297" s="9" t="s">
        <v>1136</v>
      </c>
      <c r="D297" s="34"/>
      <c r="E297" s="34"/>
      <c r="F297" s="34">
        <f>Source!CA89</f>
        <v>55</v>
      </c>
      <c r="G297" s="57">
        <f>(Source!AF89+Source!AE89)*Source!FY89/100</f>
        <v>40.831449999999997</v>
      </c>
      <c r="H297" s="57">
        <f>Source!Y89</f>
        <v>1289.08</v>
      </c>
    </row>
    <row r="298" spans="1:28" x14ac:dyDescent="0.2">
      <c r="C298" s="9" t="s">
        <v>1137</v>
      </c>
      <c r="D298" s="34"/>
      <c r="E298" s="34"/>
      <c r="F298" s="34"/>
      <c r="G298" s="34" t="str">
        <f>CONCATENATE(Source!DM89,Source!FU89, "=", Source!FY89, "%")</f>
        <v>*0,85=46,75%</v>
      </c>
      <c r="H298" s="34" t="str">
        <f>CONCATENATE(Source!AU89)</f>
        <v>47</v>
      </c>
    </row>
    <row r="299" spans="1:28" x14ac:dyDescent="0.2">
      <c r="C299" s="9" t="s">
        <v>1138</v>
      </c>
      <c r="D299" s="34"/>
      <c r="E299" s="34"/>
      <c r="F299" s="34"/>
      <c r="G299" s="57">
        <f>((Source!AF89+Source!AE89)*Source!FX89/100)+((Source!AF89+Source!AE89)*Source!FY89/100)+Source!AB89</f>
        <v>211.95775</v>
      </c>
      <c r="H299" s="57">
        <f>Source!O89+Source!X89+Source!Y89</f>
        <v>6676.6299999999992</v>
      </c>
    </row>
    <row r="300" spans="1:28" ht="14.25" x14ac:dyDescent="0.2">
      <c r="A300" s="46">
        <v>28</v>
      </c>
      <c r="B300" s="46" t="str">
        <f>Source!E90</f>
        <v>21,1</v>
      </c>
      <c r="C300" s="46" t="str">
        <f>Source!G90</f>
        <v>Грунтовка</v>
      </c>
      <c r="D300" s="46" t="str">
        <f>Source!F90</f>
        <v>14.4.01.21</v>
      </c>
      <c r="E300" s="31" t="str">
        <f>Source!H90</f>
        <v>т</v>
      </c>
      <c r="F300" s="12">
        <f>Source!I90</f>
        <v>6.0839999999999998E-2</v>
      </c>
      <c r="G300" s="22">
        <f>Source!AB90</f>
        <v>0</v>
      </c>
      <c r="H300" s="22">
        <f>Source!O90</f>
        <v>0</v>
      </c>
      <c r="T300">
        <f>Source!O90+Source!X90+Source!Y90</f>
        <v>0</v>
      </c>
      <c r="U300">
        <f>Source!P90</f>
        <v>0</v>
      </c>
      <c r="V300">
        <f>Source!S90</f>
        <v>0</v>
      </c>
      <c r="W300">
        <f>Source!Q90</f>
        <v>0</v>
      </c>
      <c r="X300">
        <f>Source!R90</f>
        <v>0</v>
      </c>
      <c r="Y300">
        <f>Source!U90</f>
        <v>0</v>
      </c>
      <c r="Z300">
        <f>Source!V90</f>
        <v>0</v>
      </c>
      <c r="AA300">
        <f>Source!X90</f>
        <v>0</v>
      </c>
      <c r="AB300">
        <f>Source!Y90</f>
        <v>0</v>
      </c>
    </row>
    <row r="301" spans="1:28" ht="14.25" x14ac:dyDescent="0.2">
      <c r="C301" s="23" t="s">
        <v>1132</v>
      </c>
      <c r="D301" s="23">
        <f>Source!BC90</f>
        <v>6.71</v>
      </c>
      <c r="F301" s="12"/>
      <c r="G301" s="12"/>
      <c r="H301" s="12"/>
    </row>
    <row r="302" spans="1:28" ht="42.75" x14ac:dyDescent="0.2">
      <c r="A302" s="46">
        <v>29</v>
      </c>
      <c r="B302" s="46" t="str">
        <f>Source!E91</f>
        <v>21,2</v>
      </c>
      <c r="C302" s="46" t="str">
        <f>Source!G91</f>
        <v>Грунтовка: акриловая упрочняющая стабилизирующая глубокого проникновения "БИРСС Грунт М"</v>
      </c>
      <c r="D302" s="46" t="str">
        <f>Source!F91</f>
        <v>14.4.01.02-0201</v>
      </c>
      <c r="E302" s="31" t="str">
        <f>Source!H91</f>
        <v>т</v>
      </c>
      <c r="F302" s="12">
        <f>Source!I91</f>
        <v>6.0839999999999998E-2</v>
      </c>
      <c r="G302" s="22">
        <f>Source!AB91</f>
        <v>30554.42</v>
      </c>
      <c r="H302" s="22">
        <f>Source!O91</f>
        <v>12473.43</v>
      </c>
      <c r="T302">
        <f>Source!O91+Source!X91+Source!Y91</f>
        <v>12473.43</v>
      </c>
      <c r="U302">
        <f>Source!P91</f>
        <v>12473.43</v>
      </c>
      <c r="V302">
        <f>Source!S91</f>
        <v>0</v>
      </c>
      <c r="W302">
        <f>Source!Q91</f>
        <v>0</v>
      </c>
      <c r="X302">
        <f>Source!R91</f>
        <v>0</v>
      </c>
      <c r="Y302">
        <f>Source!U91</f>
        <v>0</v>
      </c>
      <c r="Z302">
        <f>Source!V91</f>
        <v>0</v>
      </c>
      <c r="AA302">
        <f>Source!X91</f>
        <v>0</v>
      </c>
      <c r="AB302">
        <f>Source!Y91</f>
        <v>0</v>
      </c>
    </row>
    <row r="303" spans="1:28" ht="14.25" x14ac:dyDescent="0.2">
      <c r="C303" s="23" t="s">
        <v>1132</v>
      </c>
      <c r="D303" s="23">
        <f>Source!BC91</f>
        <v>6.71</v>
      </c>
      <c r="F303" s="12"/>
      <c r="G303" s="12"/>
      <c r="H303" s="12"/>
    </row>
    <row r="304" spans="1:28" ht="71.25" x14ac:dyDescent="0.2">
      <c r="A304" s="46">
        <v>30</v>
      </c>
      <c r="B304" s="46" t="str">
        <f>Source!E92</f>
        <v>22</v>
      </c>
      <c r="C304" s="46" t="str">
        <f>Source!G92</f>
        <v>Окрашивание водоэмульсионными составами поверхностей потолков, ранее окрашенных водоэмульсионной краской, с расчисткой старой краски более 35%</v>
      </c>
      <c r="D304" s="46" t="str">
        <f>Source!F92</f>
        <v>62-17-4</v>
      </c>
      <c r="E304" s="31" t="str">
        <f>Source!H92</f>
        <v>100 м2</v>
      </c>
      <c r="F304" s="12">
        <f>Source!I92</f>
        <v>1.663</v>
      </c>
      <c r="G304" s="22">
        <f>Source!AB92</f>
        <v>812.32</v>
      </c>
      <c r="H304" s="22">
        <f>Source!O92</f>
        <v>9064.4599999999991</v>
      </c>
      <c r="T304">
        <f>Source!O92+Source!X92+Source!Y92</f>
        <v>13328.039999999999</v>
      </c>
      <c r="U304">
        <f>Source!P92</f>
        <v>5728.78</v>
      </c>
      <c r="V304">
        <f>Source!S92</f>
        <v>3256.79</v>
      </c>
      <c r="W304">
        <f>Source!Q92</f>
        <v>78.89</v>
      </c>
      <c r="X304">
        <f>Source!R92</f>
        <v>22.88</v>
      </c>
      <c r="Y304">
        <f>Source!U92</f>
        <v>56.176140000000004</v>
      </c>
      <c r="Z304">
        <f>Source!V92</f>
        <v>0.26607999999999998</v>
      </c>
      <c r="AA304">
        <f>Source!X92</f>
        <v>2623.74</v>
      </c>
      <c r="AB304">
        <f>Source!Y92</f>
        <v>1639.84</v>
      </c>
    </row>
    <row r="305" spans="1:28" ht="14.25" x14ac:dyDescent="0.2">
      <c r="C305" s="23" t="str">
        <f>"Объем: "&amp;Source!I92&amp;"=166,3/"&amp;"100"</f>
        <v>Объем: 1,663=166,3/100</v>
      </c>
      <c r="F305" s="12"/>
      <c r="G305" s="12"/>
      <c r="H305" s="12"/>
    </row>
    <row r="306" spans="1:28" x14ac:dyDescent="0.2">
      <c r="C306" s="23" t="s">
        <v>1130</v>
      </c>
      <c r="D306" s="23">
        <f>Source!BA92</f>
        <v>6.71</v>
      </c>
    </row>
    <row r="307" spans="1:28" x14ac:dyDescent="0.2">
      <c r="C307" s="23" t="s">
        <v>1131</v>
      </c>
      <c r="D307" s="23">
        <f>Source!BB92</f>
        <v>6.71</v>
      </c>
    </row>
    <row r="308" spans="1:28" x14ac:dyDescent="0.2">
      <c r="C308" s="23" t="s">
        <v>1132</v>
      </c>
      <c r="D308" s="23">
        <f>Source!BC92</f>
        <v>6.71</v>
      </c>
    </row>
    <row r="309" spans="1:28" x14ac:dyDescent="0.2">
      <c r="C309" s="23" t="s">
        <v>1133</v>
      </c>
      <c r="D309" s="23">
        <f>Source!BS92</f>
        <v>6.71</v>
      </c>
    </row>
    <row r="310" spans="1:28" x14ac:dyDescent="0.2">
      <c r="C310" s="9" t="s">
        <v>1134</v>
      </c>
      <c r="D310" s="34"/>
      <c r="E310" s="34"/>
      <c r="F310" s="34">
        <f>Source!BZ92</f>
        <v>80</v>
      </c>
      <c r="G310" s="57">
        <f>(Source!AF92+Source!AE92)*Source!FX92/100</f>
        <v>235.12800000000004</v>
      </c>
      <c r="H310" s="57">
        <f>Source!X92</f>
        <v>2623.74</v>
      </c>
    </row>
    <row r="311" spans="1:28" x14ac:dyDescent="0.2">
      <c r="C311" s="9" t="s">
        <v>1136</v>
      </c>
      <c r="D311" s="34"/>
      <c r="E311" s="34"/>
      <c r="F311" s="34">
        <f>Source!CA92</f>
        <v>50</v>
      </c>
      <c r="G311" s="57">
        <f>(Source!AF92+Source!AE92)*Source!FY92/100</f>
        <v>146.95500000000001</v>
      </c>
      <c r="H311" s="57">
        <f>Source!Y92</f>
        <v>1639.84</v>
      </c>
    </row>
    <row r="312" spans="1:28" x14ac:dyDescent="0.2">
      <c r="C312" s="9" t="s">
        <v>1138</v>
      </c>
      <c r="D312" s="34"/>
      <c r="E312" s="34"/>
      <c r="F312" s="34"/>
      <c r="G312" s="57">
        <f>((Source!AF92+Source!AE92)*Source!FX92/100)+((Source!AF92+Source!AE92)*Source!FY92/100)+Source!AB92</f>
        <v>1194.4030000000002</v>
      </c>
      <c r="H312" s="57">
        <f>Source!O92+Source!X92+Source!Y92</f>
        <v>13328.039999999999</v>
      </c>
    </row>
    <row r="313" spans="1:28" ht="14.25" x14ac:dyDescent="0.2">
      <c r="A313" s="46">
        <v>31</v>
      </c>
      <c r="B313" s="46" t="str">
        <f>Source!E93</f>
        <v>22,1</v>
      </c>
      <c r="C313" s="46" t="str">
        <f>Source!G93</f>
        <v>Краска водоэмульсионная</v>
      </c>
      <c r="D313" s="46" t="str">
        <f>Source!F93</f>
        <v>14.3.02.01</v>
      </c>
      <c r="E313" s="31" t="str">
        <f>Source!H93</f>
        <v>т</v>
      </c>
      <c r="F313" s="12">
        <f>Source!I93</f>
        <v>0.118073</v>
      </c>
      <c r="G313" s="22">
        <f>Source!AB93</f>
        <v>0</v>
      </c>
      <c r="H313" s="22">
        <f>Source!O93</f>
        <v>0</v>
      </c>
      <c r="T313">
        <f>Source!O93+Source!X93+Source!Y93</f>
        <v>0</v>
      </c>
      <c r="U313">
        <f>Source!P93</f>
        <v>0</v>
      </c>
      <c r="V313">
        <f>Source!S93</f>
        <v>0</v>
      </c>
      <c r="W313">
        <f>Source!Q93</f>
        <v>0</v>
      </c>
      <c r="X313">
        <f>Source!R93</f>
        <v>0</v>
      </c>
      <c r="Y313">
        <f>Source!U93</f>
        <v>0</v>
      </c>
      <c r="Z313">
        <f>Source!V93</f>
        <v>0</v>
      </c>
      <c r="AA313">
        <f>Source!X93</f>
        <v>0</v>
      </c>
      <c r="AB313">
        <f>Source!Y93</f>
        <v>0</v>
      </c>
    </row>
    <row r="314" spans="1:28" ht="14.25" x14ac:dyDescent="0.2">
      <c r="C314" s="23" t="s">
        <v>1132</v>
      </c>
      <c r="D314" s="23">
        <f>Source!BC93</f>
        <v>6.71</v>
      </c>
      <c r="F314" s="12"/>
      <c r="G314" s="12"/>
      <c r="H314" s="12"/>
    </row>
    <row r="315" spans="1:28" ht="28.5" x14ac:dyDescent="0.2">
      <c r="A315" s="46">
        <v>32</v>
      </c>
      <c r="B315" s="46" t="str">
        <f>Source!E94</f>
        <v>22,2</v>
      </c>
      <c r="C315" s="46" t="str">
        <f>Source!G94</f>
        <v>Краска водоэмульсионная для внутренних работ ВАК-25</v>
      </c>
      <c r="D315" s="46" t="str">
        <f>Source!F94</f>
        <v>14.3.02.01-0224</v>
      </c>
      <c r="E315" s="31" t="str">
        <f>Source!H94</f>
        <v>т</v>
      </c>
      <c r="F315" s="12">
        <f>Source!I94</f>
        <v>0.118073</v>
      </c>
      <c r="G315" s="22">
        <f>Source!AB94</f>
        <v>22484.66</v>
      </c>
      <c r="H315" s="22">
        <f>Source!O94</f>
        <v>17813.919999999998</v>
      </c>
      <c r="T315">
        <f>Source!O94+Source!X94+Source!Y94</f>
        <v>17813.919999999998</v>
      </c>
      <c r="U315">
        <f>Source!P94</f>
        <v>17813.919999999998</v>
      </c>
      <c r="V315">
        <f>Source!S94</f>
        <v>0</v>
      </c>
      <c r="W315">
        <f>Source!Q94</f>
        <v>0</v>
      </c>
      <c r="X315">
        <f>Source!R94</f>
        <v>0</v>
      </c>
      <c r="Y315">
        <f>Source!U94</f>
        <v>0</v>
      </c>
      <c r="Z315">
        <f>Source!V94</f>
        <v>0</v>
      </c>
      <c r="AA315">
        <f>Source!X94</f>
        <v>0</v>
      </c>
      <c r="AB315">
        <f>Source!Y94</f>
        <v>0</v>
      </c>
    </row>
    <row r="316" spans="1:28" ht="14.25" x14ac:dyDescent="0.2">
      <c r="C316" s="23" t="s">
        <v>1132</v>
      </c>
      <c r="D316" s="23">
        <f>Source!BC94</f>
        <v>6.71</v>
      </c>
      <c r="F316" s="12"/>
      <c r="G316" s="12"/>
      <c r="H316" s="12"/>
    </row>
    <row r="317" spans="1:28" ht="57" x14ac:dyDescent="0.2">
      <c r="A317" s="46">
        <v>33</v>
      </c>
      <c r="B317" s="46" t="str">
        <f>Source!E95</f>
        <v>23</v>
      </c>
      <c r="C317" s="46" t="str">
        <f>Source!G95</f>
        <v>Окрашивание водоэмульсионными составами поверхностей стен, ранее окрашенных масляной краской с расчисткой старой краски более 35%</v>
      </c>
      <c r="D317" s="46" t="str">
        <f>Source!F95</f>
        <v>62-16-5</v>
      </c>
      <c r="E317" s="31" t="str">
        <f>Source!H95</f>
        <v>100 м2</v>
      </c>
      <c r="F317" s="12">
        <f>Source!I95</f>
        <v>4.68</v>
      </c>
      <c r="G317" s="22">
        <f>Source!AB95</f>
        <v>796.1</v>
      </c>
      <c r="H317" s="22">
        <f>Source!O95</f>
        <v>24999.77</v>
      </c>
      <c r="T317">
        <f>Source!O95+Source!X95+Source!Y95</f>
        <v>37037.03</v>
      </c>
      <c r="U317">
        <f>Source!P95</f>
        <v>15582.7</v>
      </c>
      <c r="V317">
        <f>Source!S95</f>
        <v>9195.0499999999993</v>
      </c>
      <c r="W317">
        <f>Source!Q95</f>
        <v>222.02</v>
      </c>
      <c r="X317">
        <f>Source!R95</f>
        <v>64.38</v>
      </c>
      <c r="Y317">
        <f>Source!U95</f>
        <v>158.6052</v>
      </c>
      <c r="Z317">
        <f>Source!V95</f>
        <v>0.74880000000000002</v>
      </c>
      <c r="AA317">
        <f>Source!X95</f>
        <v>7407.54</v>
      </c>
      <c r="AB317">
        <f>Source!Y95</f>
        <v>4629.72</v>
      </c>
    </row>
    <row r="318" spans="1:28" ht="14.25" x14ac:dyDescent="0.2">
      <c r="C318" s="23" t="str">
        <f>"Объем: "&amp;Source!I95&amp;"=468/"&amp;"100"</f>
        <v>Объем: 4,68=468/100</v>
      </c>
      <c r="F318" s="12"/>
      <c r="G318" s="12"/>
      <c r="H318" s="12"/>
    </row>
    <row r="319" spans="1:28" x14ac:dyDescent="0.2">
      <c r="C319" s="23" t="s">
        <v>1130</v>
      </c>
      <c r="D319" s="23">
        <f>Source!BA95</f>
        <v>6.71</v>
      </c>
    </row>
    <row r="320" spans="1:28" x14ac:dyDescent="0.2">
      <c r="C320" s="23" t="s">
        <v>1131</v>
      </c>
      <c r="D320" s="23">
        <f>Source!BB95</f>
        <v>6.71</v>
      </c>
    </row>
    <row r="321" spans="1:28" x14ac:dyDescent="0.2">
      <c r="C321" s="23" t="s">
        <v>1132</v>
      </c>
      <c r="D321" s="23">
        <f>Source!BC95</f>
        <v>6.71</v>
      </c>
    </row>
    <row r="322" spans="1:28" x14ac:dyDescent="0.2">
      <c r="C322" s="23" t="s">
        <v>1133</v>
      </c>
      <c r="D322" s="23">
        <f>Source!BS95</f>
        <v>6.71</v>
      </c>
    </row>
    <row r="323" spans="1:28" x14ac:dyDescent="0.2">
      <c r="C323" s="9" t="s">
        <v>1134</v>
      </c>
      <c r="D323" s="34"/>
      <c r="E323" s="34"/>
      <c r="F323" s="34">
        <f>Source!BZ95</f>
        <v>80</v>
      </c>
      <c r="G323" s="57">
        <f>(Source!AF95+Source!AE95)*Source!FX95/100</f>
        <v>235.88800000000003</v>
      </c>
      <c r="H323" s="57">
        <f>Source!X95</f>
        <v>7407.54</v>
      </c>
    </row>
    <row r="324" spans="1:28" x14ac:dyDescent="0.2">
      <c r="C324" s="9" t="s">
        <v>1136</v>
      </c>
      <c r="D324" s="34"/>
      <c r="E324" s="34"/>
      <c r="F324" s="34">
        <f>Source!CA95</f>
        <v>50</v>
      </c>
      <c r="G324" s="57">
        <f>(Source!AF95+Source!AE95)*Source!FY95/100</f>
        <v>147.43</v>
      </c>
      <c r="H324" s="57">
        <f>Source!Y95</f>
        <v>4629.72</v>
      </c>
    </row>
    <row r="325" spans="1:28" x14ac:dyDescent="0.2">
      <c r="C325" s="9" t="s">
        <v>1138</v>
      </c>
      <c r="D325" s="34"/>
      <c r="E325" s="34"/>
      <c r="F325" s="34"/>
      <c r="G325" s="57">
        <f>((Source!AF95+Source!AE95)*Source!FX95/100)+((Source!AF95+Source!AE95)*Source!FY95/100)+Source!AB95</f>
        <v>1179.4180000000001</v>
      </c>
      <c r="H325" s="57">
        <f>Source!O95+Source!X95+Source!Y95</f>
        <v>37037.03</v>
      </c>
    </row>
    <row r="326" spans="1:28" ht="28.5" x14ac:dyDescent="0.2">
      <c r="A326" s="46">
        <v>34</v>
      </c>
      <c r="B326" s="46" t="str">
        <f>Source!E96</f>
        <v>23,1</v>
      </c>
      <c r="C326" s="46" t="str">
        <f>Source!G96</f>
        <v>Краска водоэмульсионная для внутренних работ ВАК-25</v>
      </c>
      <c r="D326" s="46" t="str">
        <f>Source!F96</f>
        <v>14.3.02.01-0224</v>
      </c>
      <c r="E326" s="31" t="str">
        <f>Source!H96</f>
        <v>т</v>
      </c>
      <c r="F326" s="12">
        <f>Source!I96</f>
        <v>0.33228000000000002</v>
      </c>
      <c r="G326" s="22">
        <f>Source!AB96</f>
        <v>22484.66</v>
      </c>
      <c r="H326" s="22">
        <f>Source!O96</f>
        <v>50131.77</v>
      </c>
      <c r="T326">
        <f>Source!O96+Source!X96+Source!Y96</f>
        <v>50131.77</v>
      </c>
      <c r="U326">
        <f>Source!P96</f>
        <v>50131.77</v>
      </c>
      <c r="V326">
        <f>Source!S96</f>
        <v>0</v>
      </c>
      <c r="W326">
        <f>Source!Q96</f>
        <v>0</v>
      </c>
      <c r="X326">
        <f>Source!R96</f>
        <v>0</v>
      </c>
      <c r="Y326">
        <f>Source!U96</f>
        <v>0</v>
      </c>
      <c r="Z326">
        <f>Source!V96</f>
        <v>0</v>
      </c>
      <c r="AA326">
        <f>Source!X96</f>
        <v>0</v>
      </c>
      <c r="AB326">
        <f>Source!Y96</f>
        <v>0</v>
      </c>
    </row>
    <row r="327" spans="1:28" ht="14.25" x14ac:dyDescent="0.2">
      <c r="C327" s="23" t="s">
        <v>1132</v>
      </c>
      <c r="D327" s="23">
        <f>Source!BC96</f>
        <v>6.71</v>
      </c>
      <c r="F327" s="12"/>
      <c r="G327" s="12"/>
      <c r="H327" s="12"/>
    </row>
    <row r="328" spans="1:28" ht="14.25" x14ac:dyDescent="0.2">
      <c r="A328" s="46">
        <v>35</v>
      </c>
      <c r="B328" s="46" t="str">
        <f>Source!E97</f>
        <v>23,2</v>
      </c>
      <c r="C328" s="46" t="str">
        <f>Source!G97</f>
        <v>Краска водоэмульсионная</v>
      </c>
      <c r="D328" s="46" t="str">
        <f>Source!F97</f>
        <v>14.3.02.01</v>
      </c>
      <c r="E328" s="31" t="str">
        <f>Source!H97</f>
        <v>т</v>
      </c>
      <c r="F328" s="12">
        <f>Source!I97</f>
        <v>0.33228000000000002</v>
      </c>
      <c r="G328" s="22">
        <f>Source!AB97</f>
        <v>0</v>
      </c>
      <c r="H328" s="22">
        <f>Source!O97</f>
        <v>0</v>
      </c>
      <c r="T328">
        <f>Source!O97+Source!X97+Source!Y97</f>
        <v>0</v>
      </c>
      <c r="U328">
        <f>Source!P97</f>
        <v>0</v>
      </c>
      <c r="V328">
        <f>Source!S97</f>
        <v>0</v>
      </c>
      <c r="W328">
        <f>Source!Q97</f>
        <v>0</v>
      </c>
      <c r="X328">
        <f>Source!R97</f>
        <v>0</v>
      </c>
      <c r="Y328">
        <f>Source!U97</f>
        <v>0</v>
      </c>
      <c r="Z328">
        <f>Source!V97</f>
        <v>0</v>
      </c>
      <c r="AA328">
        <f>Source!X97</f>
        <v>0</v>
      </c>
      <c r="AB328">
        <f>Source!Y97</f>
        <v>0</v>
      </c>
    </row>
    <row r="329" spans="1:28" ht="14.25" x14ac:dyDescent="0.2">
      <c r="C329" s="23" t="s">
        <v>1132</v>
      </c>
      <c r="D329" s="23">
        <f>Source!BC97</f>
        <v>6.71</v>
      </c>
      <c r="F329" s="12"/>
      <c r="G329" s="12"/>
      <c r="H329" s="12"/>
    </row>
    <row r="330" spans="1:28" ht="28.5" x14ac:dyDescent="0.2">
      <c r="A330" s="46">
        <v>36</v>
      </c>
      <c r="B330" s="46" t="str">
        <f>Source!E98</f>
        <v>24</v>
      </c>
      <c r="C330" s="46" t="str">
        <f>Source!G98</f>
        <v>Устройство стяжек цементных толщиной 20 мм</v>
      </c>
      <c r="D330" s="46" t="str">
        <f>Source!F98</f>
        <v>11-01-011-01</v>
      </c>
      <c r="E330" s="31" t="str">
        <f>Source!H98</f>
        <v>100 м2</v>
      </c>
      <c r="F330" s="12">
        <f>Source!I98</f>
        <v>1.663</v>
      </c>
      <c r="G330" s="22">
        <f>Source!AB98</f>
        <v>507.83</v>
      </c>
      <c r="H330" s="22">
        <f>Source!O98</f>
        <v>5666.74</v>
      </c>
      <c r="T330">
        <f>Source!O98+Source!X98+Source!Y98</f>
        <v>14623.15</v>
      </c>
      <c r="U330">
        <f>Source!P98</f>
        <v>95.3</v>
      </c>
      <c r="V330">
        <f>Source!S98</f>
        <v>4830.84</v>
      </c>
      <c r="W330">
        <f>Source!Q98</f>
        <v>740.6</v>
      </c>
      <c r="X330">
        <f>Source!R98</f>
        <v>287.11</v>
      </c>
      <c r="Y330">
        <f>Source!U98</f>
        <v>90.673079399999992</v>
      </c>
      <c r="Z330">
        <f>Source!V98</f>
        <v>3.1680149999999996</v>
      </c>
      <c r="AA330">
        <f>Source!X98</f>
        <v>5680.92</v>
      </c>
      <c r="AB330">
        <f>Source!Y98</f>
        <v>3275.49</v>
      </c>
    </row>
    <row r="331" spans="1:28" ht="14.25" x14ac:dyDescent="0.2">
      <c r="C331" s="23" t="str">
        <f>"Объем: "&amp;Source!I98&amp;"=166,3/"&amp;"100"</f>
        <v>Объем: 1,663=166,3/100</v>
      </c>
      <c r="F331" s="12"/>
      <c r="G331" s="12"/>
      <c r="H331" s="12"/>
    </row>
    <row r="332" spans="1:28" x14ac:dyDescent="0.2">
      <c r="C332" s="23" t="s">
        <v>1130</v>
      </c>
      <c r="D332" s="23">
        <f>Source!BA98</f>
        <v>6.71</v>
      </c>
    </row>
    <row r="333" spans="1:28" x14ac:dyDescent="0.2">
      <c r="C333" s="23" t="s">
        <v>1131</v>
      </c>
      <c r="D333" s="23">
        <f>Source!BB98</f>
        <v>6.71</v>
      </c>
    </row>
    <row r="334" spans="1:28" x14ac:dyDescent="0.2">
      <c r="C334" s="23" t="s">
        <v>1132</v>
      </c>
      <c r="D334" s="23">
        <f>Source!BC98</f>
        <v>6.71</v>
      </c>
    </row>
    <row r="335" spans="1:28" x14ac:dyDescent="0.2">
      <c r="C335" s="23" t="s">
        <v>1133</v>
      </c>
      <c r="D335" s="23">
        <f>Source!BS98</f>
        <v>6.71</v>
      </c>
    </row>
    <row r="336" spans="1:28" x14ac:dyDescent="0.2">
      <c r="C336" s="23" t="s">
        <v>1140</v>
      </c>
      <c r="D336" s="88" t="s">
        <v>174</v>
      </c>
      <c r="E336" s="88"/>
      <c r="F336" s="88"/>
      <c r="G336" s="88"/>
      <c r="H336" s="88"/>
    </row>
    <row r="337" spans="1:28" x14ac:dyDescent="0.2">
      <c r="C337" s="23" t="s">
        <v>1141</v>
      </c>
      <c r="D337" s="88" t="s">
        <v>174</v>
      </c>
      <c r="E337" s="88"/>
      <c r="F337" s="88"/>
      <c r="G337" s="88"/>
      <c r="H337" s="88"/>
    </row>
    <row r="338" spans="1:28" x14ac:dyDescent="0.2">
      <c r="C338" s="23" t="s">
        <v>1142</v>
      </c>
      <c r="D338" s="88" t="s">
        <v>175</v>
      </c>
      <c r="E338" s="88"/>
      <c r="F338" s="88"/>
      <c r="G338" s="88"/>
      <c r="H338" s="88"/>
    </row>
    <row r="339" spans="1:28" x14ac:dyDescent="0.2">
      <c r="C339" s="23" t="s">
        <v>1143</v>
      </c>
      <c r="D339" s="88" t="s">
        <v>175</v>
      </c>
      <c r="E339" s="88"/>
      <c r="F339" s="88"/>
      <c r="G339" s="88"/>
      <c r="H339" s="88"/>
    </row>
    <row r="340" spans="1:28" x14ac:dyDescent="0.2">
      <c r="C340" s="23" t="s">
        <v>1144</v>
      </c>
      <c r="D340" s="88" t="s">
        <v>174</v>
      </c>
      <c r="E340" s="88"/>
      <c r="F340" s="88"/>
      <c r="G340" s="88"/>
      <c r="H340" s="88"/>
    </row>
    <row r="341" spans="1:28" x14ac:dyDescent="0.2">
      <c r="C341" s="9" t="s">
        <v>1134</v>
      </c>
      <c r="D341" s="34"/>
      <c r="E341" s="34"/>
      <c r="F341" s="34">
        <f>Source!BZ98</f>
        <v>123</v>
      </c>
      <c r="G341" s="57">
        <f>(Source!AF98+Source!AE98)*Source!FX98/100</f>
        <v>507.72555000000006</v>
      </c>
      <c r="H341" s="57">
        <f>Source!X98</f>
        <v>5680.92</v>
      </c>
    </row>
    <row r="342" spans="1:28" x14ac:dyDescent="0.2">
      <c r="C342" s="9" t="s">
        <v>1135</v>
      </c>
      <c r="D342" s="34"/>
      <c r="E342" s="34"/>
      <c r="F342" s="34"/>
      <c r="G342" s="34" t="str">
        <f>CONCATENATE(Source!DL98,Source!FT98, "=", Source!FX98, "%")</f>
        <v>*0,9=110,7%</v>
      </c>
      <c r="H342" s="34" t="str">
        <f>CONCATENATE(Source!AT98)</f>
        <v>111</v>
      </c>
    </row>
    <row r="343" spans="1:28" x14ac:dyDescent="0.2">
      <c r="C343" s="9" t="s">
        <v>1136</v>
      </c>
      <c r="D343" s="34"/>
      <c r="E343" s="34"/>
      <c r="F343" s="34">
        <f>Source!CA98</f>
        <v>75</v>
      </c>
      <c r="G343" s="57">
        <f>(Source!AF98+Source!AE98)*Source!FY98/100</f>
        <v>292.38937500000003</v>
      </c>
      <c r="H343" s="57">
        <f>Source!Y98</f>
        <v>3275.49</v>
      </c>
    </row>
    <row r="344" spans="1:28" x14ac:dyDescent="0.2">
      <c r="C344" s="9" t="s">
        <v>1137</v>
      </c>
      <c r="D344" s="34"/>
      <c r="E344" s="34"/>
      <c r="F344" s="34"/>
      <c r="G344" s="34" t="str">
        <f>CONCATENATE(Source!DM98,Source!FU98, "=", Source!FY98, "%")</f>
        <v>*0,85=63,75%</v>
      </c>
      <c r="H344" s="34" t="str">
        <f>CONCATENATE(Source!AU98)</f>
        <v>64</v>
      </c>
    </row>
    <row r="345" spans="1:28" x14ac:dyDescent="0.2">
      <c r="C345" s="9" t="s">
        <v>1138</v>
      </c>
      <c r="D345" s="34"/>
      <c r="E345" s="34"/>
      <c r="F345" s="34"/>
      <c r="G345" s="57">
        <f>((Source!AF98+Source!AE98)*Source!FX98/100)+((Source!AF98+Source!AE98)*Source!FY98/100)+Source!AB98</f>
        <v>1307.944925</v>
      </c>
      <c r="H345" s="57">
        <f>Source!O98+Source!X98+Source!Y98</f>
        <v>14623.15</v>
      </c>
    </row>
    <row r="346" spans="1:28" ht="28.5" x14ac:dyDescent="0.2">
      <c r="A346" s="46">
        <v>37</v>
      </c>
      <c r="B346" s="46" t="str">
        <f>Source!E99</f>
        <v>24,1</v>
      </c>
      <c r="C346" s="46" t="str">
        <f>Source!G99</f>
        <v>Раствор готовый кладочный тяжелый цементный</v>
      </c>
      <c r="D346" s="46" t="str">
        <f>Source!F99</f>
        <v>04.3.01.09</v>
      </c>
      <c r="E346" s="31" t="str">
        <f>Source!H99</f>
        <v>м3</v>
      </c>
      <c r="F346" s="12">
        <f>Source!I99</f>
        <v>3.3925200000000002</v>
      </c>
      <c r="G346" s="22">
        <f>Source!AB99</f>
        <v>0</v>
      </c>
      <c r="H346" s="22">
        <f>Source!O99</f>
        <v>0</v>
      </c>
      <c r="T346">
        <f>Source!O99+Source!X99+Source!Y99</f>
        <v>0</v>
      </c>
      <c r="U346">
        <f>Source!P99</f>
        <v>0</v>
      </c>
      <c r="V346">
        <f>Source!S99</f>
        <v>0</v>
      </c>
      <c r="W346">
        <f>Source!Q99</f>
        <v>0</v>
      </c>
      <c r="X346">
        <f>Source!R99</f>
        <v>0</v>
      </c>
      <c r="Y346">
        <f>Source!U99</f>
        <v>0</v>
      </c>
      <c r="Z346">
        <f>Source!V99</f>
        <v>0</v>
      </c>
      <c r="AA346">
        <f>Source!X99</f>
        <v>0</v>
      </c>
      <c r="AB346">
        <f>Source!Y99</f>
        <v>0</v>
      </c>
    </row>
    <row r="347" spans="1:28" ht="14.25" x14ac:dyDescent="0.2">
      <c r="C347" s="23" t="s">
        <v>1132</v>
      </c>
      <c r="D347" s="23">
        <f>Source!BC99</f>
        <v>6.71</v>
      </c>
      <c r="F347" s="12"/>
      <c r="G347" s="12"/>
      <c r="H347" s="12"/>
    </row>
    <row r="348" spans="1:28" ht="28.5" x14ac:dyDescent="0.2">
      <c r="A348" s="46">
        <v>38</v>
      </c>
      <c r="B348" s="46" t="str">
        <f>Source!E100</f>
        <v>24,2</v>
      </c>
      <c r="C348" s="46" t="str">
        <f>Source!G100</f>
        <v>Раствор готовый кладочный цементный</v>
      </c>
      <c r="D348" s="46" t="str">
        <f>Source!F100</f>
        <v>04.3.01.09-0017</v>
      </c>
      <c r="E348" s="31" t="str">
        <f>Source!H100</f>
        <v>м3</v>
      </c>
      <c r="F348" s="12">
        <f>Source!I100</f>
        <v>3.3925200000000002</v>
      </c>
      <c r="G348" s="22">
        <f>Source!AB100</f>
        <v>651.78</v>
      </c>
      <c r="H348" s="22">
        <f>Source!O100</f>
        <v>14837</v>
      </c>
      <c r="T348">
        <f>Source!O100+Source!X100+Source!Y100</f>
        <v>14837</v>
      </c>
      <c r="U348">
        <f>Source!P100</f>
        <v>14837</v>
      </c>
      <c r="V348">
        <f>Source!S100</f>
        <v>0</v>
      </c>
      <c r="W348">
        <f>Source!Q100</f>
        <v>0</v>
      </c>
      <c r="X348">
        <f>Source!R100</f>
        <v>0</v>
      </c>
      <c r="Y348">
        <f>Source!U100</f>
        <v>0</v>
      </c>
      <c r="Z348">
        <f>Source!V100</f>
        <v>0</v>
      </c>
      <c r="AA348">
        <f>Source!X100</f>
        <v>0</v>
      </c>
      <c r="AB348">
        <f>Source!Y100</f>
        <v>0</v>
      </c>
    </row>
    <row r="349" spans="1:28" ht="14.25" x14ac:dyDescent="0.2">
      <c r="C349" s="23" t="s">
        <v>1132</v>
      </c>
      <c r="D349" s="23">
        <f>Source!BC100</f>
        <v>6.71</v>
      </c>
      <c r="F349" s="12"/>
      <c r="G349" s="12"/>
      <c r="H349" s="12"/>
    </row>
    <row r="350" spans="1:28" ht="42.75" x14ac:dyDescent="0.2">
      <c r="A350" s="46">
        <v>39</v>
      </c>
      <c r="B350" s="46" t="str">
        <f>Source!E101</f>
        <v>25</v>
      </c>
      <c r="C350" s="46" t="str">
        <f>Source!G101</f>
        <v>Устройство стяжек из выравнивающей смеси типа "Ветонит" 3000, толщиной 3 мм</v>
      </c>
      <c r="D350" s="46" t="str">
        <f>Source!F101</f>
        <v>11-01-011-09</v>
      </c>
      <c r="E350" s="31" t="str">
        <f>Source!H101</f>
        <v>100 м2</v>
      </c>
      <c r="F350" s="12">
        <f>Source!I101</f>
        <v>1.663</v>
      </c>
      <c r="G350" s="22">
        <f>Source!AB101</f>
        <v>6083.21</v>
      </c>
      <c r="H350" s="22">
        <f>Source!O101</f>
        <v>67880.89</v>
      </c>
      <c r="T350">
        <f>Source!O101+Source!X101+Source!Y101</f>
        <v>74975.34</v>
      </c>
      <c r="U350">
        <f>Source!P101</f>
        <v>63789.88</v>
      </c>
      <c r="V350">
        <f>Source!S101</f>
        <v>4036.56</v>
      </c>
      <c r="W350">
        <f>Source!Q101</f>
        <v>54.45</v>
      </c>
      <c r="X350">
        <f>Source!R101</f>
        <v>17.41</v>
      </c>
      <c r="Y350">
        <f>Source!U101</f>
        <v>70.5235062</v>
      </c>
      <c r="Z350">
        <f>Source!V101</f>
        <v>0.22450499999999998</v>
      </c>
      <c r="AA350">
        <f>Source!X101</f>
        <v>4499.91</v>
      </c>
      <c r="AB350">
        <f>Source!Y101</f>
        <v>2594.54</v>
      </c>
    </row>
    <row r="351" spans="1:28" ht="14.25" x14ac:dyDescent="0.2">
      <c r="C351" s="23" t="str">
        <f>"Объем: "&amp;Source!I101&amp;"=166,3/"&amp;"100"</f>
        <v>Объем: 1,663=166,3/100</v>
      </c>
      <c r="F351" s="12"/>
      <c r="G351" s="12"/>
      <c r="H351" s="12"/>
    </row>
    <row r="352" spans="1:28" x14ac:dyDescent="0.2">
      <c r="C352" s="23" t="s">
        <v>1130</v>
      </c>
      <c r="D352" s="23">
        <f>Source!BA101</f>
        <v>6.71</v>
      </c>
    </row>
    <row r="353" spans="1:28" x14ac:dyDescent="0.2">
      <c r="C353" s="23" t="s">
        <v>1131</v>
      </c>
      <c r="D353" s="23">
        <f>Source!BB101</f>
        <v>6.71</v>
      </c>
    </row>
    <row r="354" spans="1:28" x14ac:dyDescent="0.2">
      <c r="C354" s="23" t="s">
        <v>1132</v>
      </c>
      <c r="D354" s="23">
        <f>Source!BC101</f>
        <v>6.71</v>
      </c>
    </row>
    <row r="355" spans="1:28" x14ac:dyDescent="0.2">
      <c r="C355" s="23" t="s">
        <v>1133</v>
      </c>
      <c r="D355" s="23">
        <f>Source!BS101</f>
        <v>6.71</v>
      </c>
    </row>
    <row r="356" spans="1:28" x14ac:dyDescent="0.2">
      <c r="C356" s="23" t="s">
        <v>1140</v>
      </c>
      <c r="D356" s="88" t="s">
        <v>174</v>
      </c>
      <c r="E356" s="88"/>
      <c r="F356" s="88"/>
      <c r="G356" s="88"/>
      <c r="H356" s="88"/>
    </row>
    <row r="357" spans="1:28" x14ac:dyDescent="0.2">
      <c r="C357" s="23" t="s">
        <v>1141</v>
      </c>
      <c r="D357" s="88" t="s">
        <v>174</v>
      </c>
      <c r="E357" s="88"/>
      <c r="F357" s="88"/>
      <c r="G357" s="88"/>
      <c r="H357" s="88"/>
    </row>
    <row r="358" spans="1:28" x14ac:dyDescent="0.2">
      <c r="C358" s="23" t="s">
        <v>1142</v>
      </c>
      <c r="D358" s="88" t="s">
        <v>175</v>
      </c>
      <c r="E358" s="88"/>
      <c r="F358" s="88"/>
      <c r="G358" s="88"/>
      <c r="H358" s="88"/>
    </row>
    <row r="359" spans="1:28" x14ac:dyDescent="0.2">
      <c r="C359" s="23" t="s">
        <v>1143</v>
      </c>
      <c r="D359" s="88" t="s">
        <v>175</v>
      </c>
      <c r="E359" s="88"/>
      <c r="F359" s="88"/>
      <c r="G359" s="88"/>
      <c r="H359" s="88"/>
    </row>
    <row r="360" spans="1:28" x14ac:dyDescent="0.2">
      <c r="C360" s="23" t="s">
        <v>1144</v>
      </c>
      <c r="D360" s="88" t="s">
        <v>174</v>
      </c>
      <c r="E360" s="88"/>
      <c r="F360" s="88"/>
      <c r="G360" s="88"/>
      <c r="H360" s="88"/>
    </row>
    <row r="361" spans="1:28" x14ac:dyDescent="0.2">
      <c r="C361" s="9" t="s">
        <v>1134</v>
      </c>
      <c r="D361" s="34"/>
      <c r="E361" s="34"/>
      <c r="F361" s="34">
        <f>Source!BZ101</f>
        <v>123</v>
      </c>
      <c r="G361" s="57">
        <f>(Source!AF101+Source!AE101)*Source!FX101/100</f>
        <v>402.17310000000003</v>
      </c>
      <c r="H361" s="57">
        <f>Source!X101</f>
        <v>4499.91</v>
      </c>
    </row>
    <row r="362" spans="1:28" x14ac:dyDescent="0.2">
      <c r="C362" s="9" t="s">
        <v>1135</v>
      </c>
      <c r="D362" s="34"/>
      <c r="E362" s="34"/>
      <c r="F362" s="34"/>
      <c r="G362" s="34" t="str">
        <f>CONCATENATE(Source!DL101,Source!FT101, "=", Source!FX101, "%")</f>
        <v>*0,9=110,7%</v>
      </c>
      <c r="H362" s="34" t="str">
        <f>CONCATENATE(Source!AT101)</f>
        <v>111</v>
      </c>
    </row>
    <row r="363" spans="1:28" x14ac:dyDescent="0.2">
      <c r="C363" s="9" t="s">
        <v>1136</v>
      </c>
      <c r="D363" s="34"/>
      <c r="E363" s="34"/>
      <c r="F363" s="34">
        <f>Source!CA101</f>
        <v>75</v>
      </c>
      <c r="G363" s="57">
        <f>(Source!AF101+Source!AE101)*Source!FY101/100</f>
        <v>231.60374999999999</v>
      </c>
      <c r="H363" s="57">
        <f>Source!Y101</f>
        <v>2594.54</v>
      </c>
    </row>
    <row r="364" spans="1:28" x14ac:dyDescent="0.2">
      <c r="C364" s="9" t="s">
        <v>1137</v>
      </c>
      <c r="D364" s="34"/>
      <c r="E364" s="34"/>
      <c r="F364" s="34"/>
      <c r="G364" s="34" t="str">
        <f>CONCATENATE(Source!DM101,Source!FU101, "=", Source!FY101, "%")</f>
        <v>*0,85=63,75%</v>
      </c>
      <c r="H364" s="34" t="str">
        <f>CONCATENATE(Source!AU101)</f>
        <v>64</v>
      </c>
    </row>
    <row r="365" spans="1:28" x14ac:dyDescent="0.2">
      <c r="C365" s="9" t="s">
        <v>1138</v>
      </c>
      <c r="D365" s="34"/>
      <c r="E365" s="34"/>
      <c r="F365" s="34"/>
      <c r="G365" s="57">
        <f>((Source!AF101+Source!AE101)*Source!FX101/100)+((Source!AF101+Source!AE101)*Source!FY101/100)+Source!AB101</f>
        <v>6716.9868500000002</v>
      </c>
      <c r="H365" s="57">
        <f>Source!O101+Source!X101+Source!Y101</f>
        <v>74975.34</v>
      </c>
    </row>
    <row r="366" spans="1:28" ht="42.75" x14ac:dyDescent="0.2">
      <c r="A366" s="46">
        <v>40</v>
      </c>
      <c r="B366" s="46" t="str">
        <f>Source!E102</f>
        <v>26</v>
      </c>
      <c r="C366" s="46" t="str">
        <f>Source!G102</f>
        <v>Устройство покрытий из линолеума насухо со свариванием полотнищ в стыках</v>
      </c>
      <c r="D366" s="46" t="str">
        <f>Source!F102</f>
        <v>11-01-036-04</v>
      </c>
      <c r="E366" s="31" t="str">
        <f>Source!H102</f>
        <v>100 м2</v>
      </c>
      <c r="F366" s="12">
        <f>Source!I102</f>
        <v>1.18</v>
      </c>
      <c r="G366" s="22">
        <f>Source!AB102</f>
        <v>450.5</v>
      </c>
      <c r="H366" s="22">
        <f>Source!O102</f>
        <v>3566.97</v>
      </c>
      <c r="T366">
        <f>Source!O102+Source!X102+Source!Y102</f>
        <v>8769.2599999999984</v>
      </c>
      <c r="U366">
        <f>Source!P102</f>
        <v>0</v>
      </c>
      <c r="V366">
        <f>Source!S102</f>
        <v>2852.07</v>
      </c>
      <c r="W366">
        <f>Source!Q102</f>
        <v>714.9</v>
      </c>
      <c r="X366">
        <f>Source!R102</f>
        <v>120.67</v>
      </c>
      <c r="Y366">
        <f>Source!U102</f>
        <v>51.148043999999992</v>
      </c>
      <c r="Z366">
        <f>Source!V102</f>
        <v>1.4513999999999996</v>
      </c>
      <c r="AA366">
        <f>Source!X102</f>
        <v>3299.74</v>
      </c>
      <c r="AB366">
        <f>Source!Y102</f>
        <v>1902.55</v>
      </c>
    </row>
    <row r="367" spans="1:28" ht="14.25" x14ac:dyDescent="0.2">
      <c r="C367" s="23" t="str">
        <f>"Объем: "&amp;Source!I102&amp;"=118/"&amp;"100"</f>
        <v>Объем: 1,18=118/100</v>
      </c>
      <c r="F367" s="12"/>
      <c r="G367" s="12"/>
      <c r="H367" s="12"/>
    </row>
    <row r="368" spans="1:28" x14ac:dyDescent="0.2">
      <c r="C368" s="23" t="s">
        <v>1130</v>
      </c>
      <c r="D368" s="23">
        <f>Source!BA102</f>
        <v>6.71</v>
      </c>
    </row>
    <row r="369" spans="1:28" x14ac:dyDescent="0.2">
      <c r="C369" s="23" t="s">
        <v>1131</v>
      </c>
      <c r="D369" s="23">
        <f>Source!BB102</f>
        <v>6.71</v>
      </c>
    </row>
    <row r="370" spans="1:28" x14ac:dyDescent="0.2">
      <c r="C370" s="23" t="s">
        <v>1132</v>
      </c>
      <c r="D370" s="23">
        <f>Source!BC102</f>
        <v>6.71</v>
      </c>
    </row>
    <row r="371" spans="1:28" x14ac:dyDescent="0.2">
      <c r="C371" s="23" t="s">
        <v>1133</v>
      </c>
      <c r="D371" s="23">
        <f>Source!BS102</f>
        <v>6.71</v>
      </c>
    </row>
    <row r="372" spans="1:28" x14ac:dyDescent="0.2">
      <c r="C372" s="23" t="s">
        <v>1140</v>
      </c>
      <c r="D372" s="88" t="s">
        <v>174</v>
      </c>
      <c r="E372" s="88"/>
      <c r="F372" s="88"/>
      <c r="G372" s="88"/>
      <c r="H372" s="88"/>
    </row>
    <row r="373" spans="1:28" x14ac:dyDescent="0.2">
      <c r="C373" s="23" t="s">
        <v>1141</v>
      </c>
      <c r="D373" s="88" t="s">
        <v>174</v>
      </c>
      <c r="E373" s="88"/>
      <c r="F373" s="88"/>
      <c r="G373" s="88"/>
      <c r="H373" s="88"/>
    </row>
    <row r="374" spans="1:28" x14ac:dyDescent="0.2">
      <c r="C374" s="23" t="s">
        <v>1142</v>
      </c>
      <c r="D374" s="88" t="s">
        <v>175</v>
      </c>
      <c r="E374" s="88"/>
      <c r="F374" s="88"/>
      <c r="G374" s="88"/>
      <c r="H374" s="88"/>
    </row>
    <row r="375" spans="1:28" x14ac:dyDescent="0.2">
      <c r="C375" s="23" t="s">
        <v>1143</v>
      </c>
      <c r="D375" s="88" t="s">
        <v>175</v>
      </c>
      <c r="E375" s="88"/>
      <c r="F375" s="88"/>
      <c r="G375" s="88"/>
      <c r="H375" s="88"/>
    </row>
    <row r="376" spans="1:28" x14ac:dyDescent="0.2">
      <c r="C376" s="23" t="s">
        <v>1144</v>
      </c>
      <c r="D376" s="88" t="s">
        <v>174</v>
      </c>
      <c r="E376" s="88"/>
      <c r="F376" s="88"/>
      <c r="G376" s="88"/>
      <c r="H376" s="88"/>
    </row>
    <row r="377" spans="1:28" x14ac:dyDescent="0.2">
      <c r="C377" s="9" t="s">
        <v>1134</v>
      </c>
      <c r="D377" s="34"/>
      <c r="E377" s="34"/>
      <c r="F377" s="34">
        <f>Source!BZ102</f>
        <v>123</v>
      </c>
      <c r="G377" s="57">
        <f>(Source!AF102+Source!AE102)*Source!FX102/100</f>
        <v>415.62315000000001</v>
      </c>
      <c r="H377" s="57">
        <f>Source!X102</f>
        <v>3299.74</v>
      </c>
    </row>
    <row r="378" spans="1:28" x14ac:dyDescent="0.2">
      <c r="C378" s="9" t="s">
        <v>1135</v>
      </c>
      <c r="D378" s="34"/>
      <c r="E378" s="34"/>
      <c r="F378" s="34"/>
      <c r="G378" s="34" t="str">
        <f>CONCATENATE(Source!DL102,Source!FT102, "=", Source!FX102, "%")</f>
        <v>*0,9=110,7%</v>
      </c>
      <c r="H378" s="34" t="str">
        <f>CONCATENATE(Source!AT102)</f>
        <v>111</v>
      </c>
    </row>
    <row r="379" spans="1:28" x14ac:dyDescent="0.2">
      <c r="C379" s="9" t="s">
        <v>1136</v>
      </c>
      <c r="D379" s="34"/>
      <c r="E379" s="34"/>
      <c r="F379" s="34">
        <f>Source!CA102</f>
        <v>75</v>
      </c>
      <c r="G379" s="57">
        <f>(Source!AF102+Source!AE102)*Source!FY102/100</f>
        <v>239.34937500000001</v>
      </c>
      <c r="H379" s="57">
        <f>Source!Y102</f>
        <v>1902.55</v>
      </c>
    </row>
    <row r="380" spans="1:28" x14ac:dyDescent="0.2">
      <c r="C380" s="9" t="s">
        <v>1137</v>
      </c>
      <c r="D380" s="34"/>
      <c r="E380" s="34"/>
      <c r="F380" s="34"/>
      <c r="G380" s="34" t="str">
        <f>CONCATENATE(Source!DM102,Source!FU102, "=", Source!FY102, "%")</f>
        <v>*0,85=63,75%</v>
      </c>
      <c r="H380" s="34" t="str">
        <f>CONCATENATE(Source!AU102)</f>
        <v>64</v>
      </c>
    </row>
    <row r="381" spans="1:28" x14ac:dyDescent="0.2">
      <c r="C381" s="9" t="s">
        <v>1138</v>
      </c>
      <c r="D381" s="34"/>
      <c r="E381" s="34"/>
      <c r="F381" s="34"/>
      <c r="G381" s="57">
        <f>((Source!AF102+Source!AE102)*Source!FX102/100)+((Source!AF102+Source!AE102)*Source!FY102/100)+Source!AB102</f>
        <v>1105.4725250000001</v>
      </c>
      <c r="H381" s="57">
        <f>Source!O102+Source!X102+Source!Y102</f>
        <v>8769.2599999999984</v>
      </c>
    </row>
    <row r="382" spans="1:28" ht="28.5" x14ac:dyDescent="0.2">
      <c r="A382" s="46">
        <v>41</v>
      </c>
      <c r="B382" s="46" t="str">
        <f>Source!E103</f>
        <v>26,1</v>
      </c>
      <c r="C382" s="46" t="str">
        <f>Source!G103</f>
        <v>Линолеум на теплозвукоизолирующей подоснове</v>
      </c>
      <c r="D382" s="46" t="str">
        <f>Source!F103</f>
        <v>01.6.03.04</v>
      </c>
      <c r="E382" s="31" t="str">
        <f>Source!H103</f>
        <v>м2</v>
      </c>
      <c r="F382" s="12">
        <f>Source!I103</f>
        <v>120.36</v>
      </c>
      <c r="G382" s="22">
        <f>Source!AB103</f>
        <v>0</v>
      </c>
      <c r="H382" s="22">
        <f>Source!O103</f>
        <v>0</v>
      </c>
      <c r="T382">
        <f>Source!O103+Source!X103+Source!Y103</f>
        <v>0</v>
      </c>
      <c r="U382">
        <f>Source!P103</f>
        <v>0</v>
      </c>
      <c r="V382">
        <f>Source!S103</f>
        <v>0</v>
      </c>
      <c r="W382">
        <f>Source!Q103</f>
        <v>0</v>
      </c>
      <c r="X382">
        <f>Source!R103</f>
        <v>0</v>
      </c>
      <c r="Y382">
        <f>Source!U103</f>
        <v>0</v>
      </c>
      <c r="Z382">
        <f>Source!V103</f>
        <v>0</v>
      </c>
      <c r="AA382">
        <f>Source!X103</f>
        <v>0</v>
      </c>
      <c r="AB382">
        <f>Source!Y103</f>
        <v>0</v>
      </c>
    </row>
    <row r="383" spans="1:28" ht="14.25" x14ac:dyDescent="0.2">
      <c r="C383" s="23" t="s">
        <v>1132</v>
      </c>
      <c r="D383" s="23">
        <f>Source!BC103</f>
        <v>6.71</v>
      </c>
      <c r="F383" s="12"/>
      <c r="G383" s="12"/>
      <c r="H383" s="12"/>
    </row>
    <row r="384" spans="1:28" ht="71.25" x14ac:dyDescent="0.2">
      <c r="A384" s="46">
        <v>42</v>
      </c>
      <c r="B384" s="46" t="str">
        <f>Source!E104</f>
        <v>26,2</v>
      </c>
      <c r="C384" s="46" t="str">
        <f>Source!G104</f>
        <v>Линолеум коммерческий гомогенный "ТАРКЕТТ iQ GRANIT ACOUSTIC", акустический (толщина 2 мм, класс 34/43, пож. безопасность Г4, В3, РП2, Д2, Т2) прим.</v>
      </c>
      <c r="D384" s="46" t="str">
        <f>Source!F104</f>
        <v>01.6.03.04-0115</v>
      </c>
      <c r="E384" s="31" t="str">
        <f>Source!H104</f>
        <v>м2</v>
      </c>
      <c r="F384" s="12">
        <f>Source!I104</f>
        <v>120.36</v>
      </c>
      <c r="G384" s="22">
        <f>Source!AB104</f>
        <v>299.95</v>
      </c>
      <c r="H384" s="22">
        <f>Source!O104</f>
        <v>242244.3</v>
      </c>
      <c r="T384">
        <f>Source!O104+Source!X104+Source!Y104</f>
        <v>242244.3</v>
      </c>
      <c r="U384">
        <f>Source!P104</f>
        <v>242244.3</v>
      </c>
      <c r="V384">
        <f>Source!S104</f>
        <v>0</v>
      </c>
      <c r="W384">
        <f>Source!Q104</f>
        <v>0</v>
      </c>
      <c r="X384">
        <f>Source!R104</f>
        <v>0</v>
      </c>
      <c r="Y384">
        <f>Source!U104</f>
        <v>0</v>
      </c>
      <c r="Z384">
        <f>Source!V104</f>
        <v>0</v>
      </c>
      <c r="AA384">
        <f>Source!X104</f>
        <v>0</v>
      </c>
      <c r="AB384">
        <f>Source!Y104</f>
        <v>0</v>
      </c>
    </row>
    <row r="385" spans="1:28" ht="14.25" x14ac:dyDescent="0.2">
      <c r="C385" s="23" t="s">
        <v>1132</v>
      </c>
      <c r="D385" s="23">
        <f>Source!BC104</f>
        <v>6.71</v>
      </c>
      <c r="F385" s="12"/>
      <c r="G385" s="12"/>
      <c r="H385" s="12"/>
    </row>
    <row r="386" spans="1:28" ht="28.5" x14ac:dyDescent="0.2">
      <c r="A386" s="46">
        <v>43</v>
      </c>
      <c r="B386" s="46" t="str">
        <f>Source!E105</f>
        <v>26,3</v>
      </c>
      <c r="C386" s="46" t="str">
        <f>Source!G105</f>
        <v>Лента полимерная (фторопластовая) для сварки линолеума</v>
      </c>
      <c r="D386" s="46" t="str">
        <f>Source!F105</f>
        <v>01.7.06.14-0034</v>
      </c>
      <c r="E386" s="31" t="str">
        <f>Source!H105</f>
        <v>100 м</v>
      </c>
      <c r="F386" s="12">
        <f>Source!I105</f>
        <v>0.8024</v>
      </c>
      <c r="G386" s="22">
        <f>Source!AB105</f>
        <v>99.4</v>
      </c>
      <c r="H386" s="22">
        <f>Source!O105</f>
        <v>535.17999999999995</v>
      </c>
      <c r="T386">
        <f>Source!O105+Source!X105+Source!Y105</f>
        <v>535.17999999999995</v>
      </c>
      <c r="U386">
        <f>Source!P105</f>
        <v>535.17999999999995</v>
      </c>
      <c r="V386">
        <f>Source!S105</f>
        <v>0</v>
      </c>
      <c r="W386">
        <f>Source!Q105</f>
        <v>0</v>
      </c>
      <c r="X386">
        <f>Source!R105</f>
        <v>0</v>
      </c>
      <c r="Y386">
        <f>Source!U105</f>
        <v>0</v>
      </c>
      <c r="Z386">
        <f>Source!V105</f>
        <v>0</v>
      </c>
      <c r="AA386">
        <f>Source!X105</f>
        <v>0</v>
      </c>
      <c r="AB386">
        <f>Source!Y105</f>
        <v>0</v>
      </c>
    </row>
    <row r="387" spans="1:28" ht="14.25" x14ac:dyDescent="0.2">
      <c r="C387" s="23" t="s">
        <v>1132</v>
      </c>
      <c r="D387" s="23">
        <f>Source!BC105</f>
        <v>6.71</v>
      </c>
      <c r="F387" s="12"/>
      <c r="G387" s="12"/>
      <c r="H387" s="12"/>
    </row>
    <row r="388" spans="1:28" ht="14.25" x14ac:dyDescent="0.2">
      <c r="A388" s="46">
        <v>44</v>
      </c>
      <c r="B388" s="46" t="str">
        <f>Source!E106</f>
        <v>26,4</v>
      </c>
      <c r="C388" s="46" t="str">
        <f>Source!G106</f>
        <v>Лента полимерная</v>
      </c>
      <c r="D388" s="46" t="str">
        <f>Source!F106</f>
        <v>01.7.06.03</v>
      </c>
      <c r="E388" s="31" t="str">
        <f>Source!H106</f>
        <v>100 м</v>
      </c>
      <c r="F388" s="12">
        <f>Source!I106</f>
        <v>0.8024</v>
      </c>
      <c r="G388" s="22">
        <f>Source!AB106</f>
        <v>0</v>
      </c>
      <c r="H388" s="22">
        <f>Source!O106</f>
        <v>0</v>
      </c>
      <c r="T388">
        <f>Source!O106+Source!X106+Source!Y106</f>
        <v>0</v>
      </c>
      <c r="U388">
        <f>Source!P106</f>
        <v>0</v>
      </c>
      <c r="V388">
        <f>Source!S106</f>
        <v>0</v>
      </c>
      <c r="W388">
        <f>Source!Q106</f>
        <v>0</v>
      </c>
      <c r="X388">
        <f>Source!R106</f>
        <v>0</v>
      </c>
      <c r="Y388">
        <f>Source!U106</f>
        <v>0</v>
      </c>
      <c r="Z388">
        <f>Source!V106</f>
        <v>0</v>
      </c>
      <c r="AA388">
        <f>Source!X106</f>
        <v>0</v>
      </c>
      <c r="AB388">
        <f>Source!Y106</f>
        <v>0</v>
      </c>
    </row>
    <row r="389" spans="1:28" ht="14.25" x14ac:dyDescent="0.2">
      <c r="C389" s="23" t="s">
        <v>1132</v>
      </c>
      <c r="D389" s="23">
        <f>Source!BC106</f>
        <v>6.71</v>
      </c>
      <c r="F389" s="12"/>
      <c r="G389" s="12"/>
      <c r="H389" s="12"/>
    </row>
    <row r="390" spans="1:28" ht="71.25" x14ac:dyDescent="0.2">
      <c r="A390" s="46">
        <v>45</v>
      </c>
      <c r="B390" s="46" t="str">
        <f>Source!E107</f>
        <v>27</v>
      </c>
      <c r="C390" s="46" t="str">
        <f>Source!G107</f>
        <v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v>
      </c>
      <c r="D390" s="46" t="str">
        <f>Source!F107</f>
        <v>11-01-027-06</v>
      </c>
      <c r="E390" s="31" t="str">
        <f>Source!H107</f>
        <v>100 м2</v>
      </c>
      <c r="F390" s="12">
        <f>Source!I107</f>
        <v>0.48299999999999998</v>
      </c>
      <c r="G390" s="22">
        <f>Source!AB107</f>
        <v>9516.64</v>
      </c>
      <c r="H390" s="22">
        <f>Source!O107</f>
        <v>30842.76</v>
      </c>
      <c r="T390">
        <f>Source!O107+Source!X107+Source!Y107</f>
        <v>39492.629999999997</v>
      </c>
      <c r="U390">
        <f>Source!P107</f>
        <v>25470.14</v>
      </c>
      <c r="V390">
        <f>Source!S107</f>
        <v>4682.1400000000003</v>
      </c>
      <c r="W390">
        <f>Source!Q107</f>
        <v>690.48</v>
      </c>
      <c r="X390">
        <f>Source!R107</f>
        <v>260.64</v>
      </c>
      <c r="Y390">
        <f>Source!U107</f>
        <v>79.838161199999988</v>
      </c>
      <c r="Z390">
        <f>Source!V107</f>
        <v>3.2602500000000001</v>
      </c>
      <c r="AA390">
        <f>Source!X107</f>
        <v>5486.49</v>
      </c>
      <c r="AB390">
        <f>Source!Y107</f>
        <v>3163.38</v>
      </c>
    </row>
    <row r="391" spans="1:28" ht="14.25" x14ac:dyDescent="0.2">
      <c r="C391" s="23" t="str">
        <f>"Объем: "&amp;Source!I107&amp;"=48,3/"&amp;"100"</f>
        <v>Объем: 0,483=48,3/100</v>
      </c>
      <c r="F391" s="12"/>
      <c r="G391" s="12"/>
      <c r="H391" s="12"/>
    </row>
    <row r="392" spans="1:28" x14ac:dyDescent="0.2">
      <c r="C392" s="23" t="s">
        <v>1130</v>
      </c>
      <c r="D392" s="23">
        <f>Source!BA107</f>
        <v>6.71</v>
      </c>
    </row>
    <row r="393" spans="1:28" x14ac:dyDescent="0.2">
      <c r="C393" s="23" t="s">
        <v>1131</v>
      </c>
      <c r="D393" s="23">
        <f>Source!BB107</f>
        <v>6.71</v>
      </c>
    </row>
    <row r="394" spans="1:28" x14ac:dyDescent="0.2">
      <c r="C394" s="23" t="s">
        <v>1132</v>
      </c>
      <c r="D394" s="23">
        <f>Source!BC107</f>
        <v>6.71</v>
      </c>
    </row>
    <row r="395" spans="1:28" x14ac:dyDescent="0.2">
      <c r="C395" s="23" t="s">
        <v>1133</v>
      </c>
      <c r="D395" s="23">
        <f>Source!BS107</f>
        <v>6.71</v>
      </c>
    </row>
    <row r="396" spans="1:28" x14ac:dyDescent="0.2">
      <c r="C396" s="23" t="s">
        <v>1140</v>
      </c>
      <c r="D396" s="88" t="s">
        <v>174</v>
      </c>
      <c r="E396" s="88"/>
      <c r="F396" s="88"/>
      <c r="G396" s="88"/>
      <c r="H396" s="88"/>
    </row>
    <row r="397" spans="1:28" x14ac:dyDescent="0.2">
      <c r="C397" s="23" t="s">
        <v>1141</v>
      </c>
      <c r="D397" s="88" t="s">
        <v>174</v>
      </c>
      <c r="E397" s="88"/>
      <c r="F397" s="88"/>
      <c r="G397" s="88"/>
      <c r="H397" s="88"/>
    </row>
    <row r="398" spans="1:28" x14ac:dyDescent="0.2">
      <c r="C398" s="23" t="s">
        <v>1142</v>
      </c>
      <c r="D398" s="88" t="s">
        <v>175</v>
      </c>
      <c r="E398" s="88"/>
      <c r="F398" s="88"/>
      <c r="G398" s="88"/>
      <c r="H398" s="88"/>
    </row>
    <row r="399" spans="1:28" x14ac:dyDescent="0.2">
      <c r="C399" s="23" t="s">
        <v>1143</v>
      </c>
      <c r="D399" s="88" t="s">
        <v>175</v>
      </c>
      <c r="E399" s="88"/>
      <c r="F399" s="88"/>
      <c r="G399" s="88"/>
      <c r="H399" s="88"/>
    </row>
    <row r="400" spans="1:28" x14ac:dyDescent="0.2">
      <c r="C400" s="23" t="s">
        <v>1144</v>
      </c>
      <c r="D400" s="88" t="s">
        <v>174</v>
      </c>
      <c r="E400" s="88"/>
      <c r="F400" s="88"/>
      <c r="G400" s="88"/>
      <c r="H400" s="88"/>
    </row>
    <row r="401" spans="1:28" x14ac:dyDescent="0.2">
      <c r="C401" s="9" t="s">
        <v>1134</v>
      </c>
      <c r="D401" s="34"/>
      <c r="E401" s="34"/>
      <c r="F401" s="34">
        <f>Source!BZ107</f>
        <v>123</v>
      </c>
      <c r="G401" s="57">
        <f>(Source!AF107+Source!AE107)*Source!FX107/100</f>
        <v>1688.2967700000002</v>
      </c>
      <c r="H401" s="57">
        <f>Source!X107</f>
        <v>5486.49</v>
      </c>
    </row>
    <row r="402" spans="1:28" x14ac:dyDescent="0.2">
      <c r="C402" s="9" t="s">
        <v>1135</v>
      </c>
      <c r="D402" s="34"/>
      <c r="E402" s="34"/>
      <c r="F402" s="34"/>
      <c r="G402" s="34" t="str">
        <f>CONCATENATE(Source!DL107,Source!FT107, "=", Source!FX107, "%")</f>
        <v>*0,9=110,7%</v>
      </c>
      <c r="H402" s="34" t="str">
        <f>CONCATENATE(Source!AT107)</f>
        <v>111</v>
      </c>
    </row>
    <row r="403" spans="1:28" x14ac:dyDescent="0.2">
      <c r="C403" s="9" t="s">
        <v>1136</v>
      </c>
      <c r="D403" s="34"/>
      <c r="E403" s="34"/>
      <c r="F403" s="34">
        <f>Source!CA107</f>
        <v>75</v>
      </c>
      <c r="G403" s="57">
        <f>(Source!AF107+Source!AE107)*Source!FY107/100</f>
        <v>972.25762500000008</v>
      </c>
      <c r="H403" s="57">
        <f>Source!Y107</f>
        <v>3163.38</v>
      </c>
    </row>
    <row r="404" spans="1:28" x14ac:dyDescent="0.2">
      <c r="C404" s="9" t="s">
        <v>1137</v>
      </c>
      <c r="D404" s="34"/>
      <c r="E404" s="34"/>
      <c r="F404" s="34"/>
      <c r="G404" s="34" t="str">
        <f>CONCATENATE(Source!DM107,Source!FU107, "=", Source!FY107, "%")</f>
        <v>*0,85=63,75%</v>
      </c>
      <c r="H404" s="34" t="str">
        <f>CONCATENATE(Source!AU107)</f>
        <v>64</v>
      </c>
    </row>
    <row r="405" spans="1:28" x14ac:dyDescent="0.2">
      <c r="C405" s="9" t="s">
        <v>1138</v>
      </c>
      <c r="D405" s="34"/>
      <c r="E405" s="34"/>
      <c r="F405" s="34"/>
      <c r="G405" s="57">
        <f>((Source!AF107+Source!AE107)*Source!FX107/100)+((Source!AF107+Source!AE107)*Source!FY107/100)+Source!AB107</f>
        <v>12177.194394999999</v>
      </c>
      <c r="H405" s="57">
        <f>Source!O107+Source!X107+Source!Y107</f>
        <v>39492.629999999997</v>
      </c>
    </row>
    <row r="406" spans="1:28" ht="71.25" x14ac:dyDescent="0.2">
      <c r="A406" s="46">
        <v>46</v>
      </c>
      <c r="B406" s="46" t="str">
        <f>Source!E108</f>
        <v>27,1</v>
      </c>
      <c r="C406" s="46" t="s">
        <v>1145</v>
      </c>
      <c r="D406" s="46" t="str">
        <f>Source!F108</f>
        <v>06.2.02.01-0071</v>
      </c>
      <c r="E406" s="31" t="str">
        <f>Source!H108</f>
        <v>м2</v>
      </c>
      <c r="F406" s="12">
        <f>Source!I108</f>
        <v>-49.265999999999998</v>
      </c>
      <c r="G406" s="22">
        <f>Source!AB108</f>
        <v>67.8</v>
      </c>
      <c r="H406" s="22">
        <f>Source!O108</f>
        <v>-22412.98</v>
      </c>
      <c r="T406">
        <f>Source!O108+Source!X108+Source!Y108</f>
        <v>-22412.98</v>
      </c>
      <c r="U406">
        <f>Source!P108</f>
        <v>-22412.98</v>
      </c>
      <c r="V406">
        <f>Source!S108</f>
        <v>0</v>
      </c>
      <c r="W406">
        <f>Source!Q108</f>
        <v>0</v>
      </c>
      <c r="X406">
        <f>Source!R108</f>
        <v>0</v>
      </c>
      <c r="Y406">
        <f>Source!U108</f>
        <v>0</v>
      </c>
      <c r="Z406">
        <f>Source!V108</f>
        <v>0</v>
      </c>
      <c r="AA406">
        <f>Source!X108</f>
        <v>0</v>
      </c>
      <c r="AB406">
        <f>Source!Y108</f>
        <v>0</v>
      </c>
    </row>
    <row r="407" spans="1:28" ht="14.25" x14ac:dyDescent="0.2">
      <c r="C407" s="23" t="s">
        <v>1132</v>
      </c>
      <c r="D407" s="23">
        <f>Source!BC108</f>
        <v>6.71</v>
      </c>
      <c r="F407" s="12"/>
      <c r="G407" s="12"/>
      <c r="H407" s="12"/>
    </row>
    <row r="408" spans="1:28" ht="85.5" x14ac:dyDescent="0.2">
      <c r="A408" s="46">
        <v>47</v>
      </c>
      <c r="B408" s="46" t="str">
        <f>Source!E109</f>
        <v>27,2</v>
      </c>
      <c r="C408" s="46" t="str">
        <f>Source!G109</f>
        <v>Плитки керамические для полов рельефные глазурованные, декорированные методом сериографии, квадратные и прямоугольные с многоцветным рисунком толщиной 13 мм</v>
      </c>
      <c r="D408" s="46" t="str">
        <f>Source!F109</f>
        <v>06.2.02.01-0082</v>
      </c>
      <c r="E408" s="31" t="str">
        <f>Source!H109</f>
        <v>м2</v>
      </c>
      <c r="F408" s="12">
        <f>Source!I109</f>
        <v>49.265999999999998</v>
      </c>
      <c r="G408" s="22">
        <f>Source!AB109</f>
        <v>143.57</v>
      </c>
      <c r="H408" s="22">
        <f>Source!O109</f>
        <v>47460.63</v>
      </c>
      <c r="T408">
        <f>Source!O109+Source!X109+Source!Y109</f>
        <v>47460.63</v>
      </c>
      <c r="U408">
        <f>Source!P109</f>
        <v>47460.63</v>
      </c>
      <c r="V408">
        <f>Source!S109</f>
        <v>0</v>
      </c>
      <c r="W408">
        <f>Source!Q109</f>
        <v>0</v>
      </c>
      <c r="X408">
        <f>Source!R109</f>
        <v>0</v>
      </c>
      <c r="Y408">
        <f>Source!U109</f>
        <v>0</v>
      </c>
      <c r="Z408">
        <f>Source!V109</f>
        <v>0</v>
      </c>
      <c r="AA408">
        <f>Source!X109</f>
        <v>0</v>
      </c>
      <c r="AB408">
        <f>Source!Y109</f>
        <v>0</v>
      </c>
    </row>
    <row r="409" spans="1:28" ht="14.25" x14ac:dyDescent="0.2">
      <c r="C409" s="23" t="s">
        <v>1132</v>
      </c>
      <c r="D409" s="23">
        <f>Source!BC109</f>
        <v>6.71</v>
      </c>
      <c r="F409" s="12"/>
      <c r="G409" s="12"/>
      <c r="H409" s="12"/>
    </row>
    <row r="410" spans="1:28" ht="42.75" x14ac:dyDescent="0.2">
      <c r="A410" s="46">
        <v>48</v>
      </c>
      <c r="B410" s="46" t="str">
        <f>Source!E110</f>
        <v>27,3</v>
      </c>
      <c r="C410" s="46" t="str">
        <f>Source!G110</f>
        <v>Клей для плитки Ветонит "Быстросхватывающийся клей для ремонтных работ"</v>
      </c>
      <c r="D410" s="46" t="str">
        <f>Source!F110</f>
        <v>14.1.06.02-0008</v>
      </c>
      <c r="E410" s="31" t="str">
        <f>Source!H110</f>
        <v>т</v>
      </c>
      <c r="F410" s="12">
        <f>Source!I110</f>
        <v>0.21734999999999999</v>
      </c>
      <c r="G410" s="22">
        <f>Source!AB110</f>
        <v>7340.57</v>
      </c>
      <c r="H410" s="22">
        <f>Source!O110</f>
        <v>10705.62</v>
      </c>
      <c r="T410">
        <f>Source!O110+Source!X110+Source!Y110</f>
        <v>10705.62</v>
      </c>
      <c r="U410">
        <f>Source!P110</f>
        <v>10705.62</v>
      </c>
      <c r="V410">
        <f>Source!S110</f>
        <v>0</v>
      </c>
      <c r="W410">
        <f>Source!Q110</f>
        <v>0</v>
      </c>
      <c r="X410">
        <f>Source!R110</f>
        <v>0</v>
      </c>
      <c r="Y410">
        <f>Source!U110</f>
        <v>0</v>
      </c>
      <c r="Z410">
        <f>Source!V110</f>
        <v>0</v>
      </c>
      <c r="AA410">
        <f>Source!X110</f>
        <v>0</v>
      </c>
      <c r="AB410">
        <f>Source!Y110</f>
        <v>0</v>
      </c>
    </row>
    <row r="411" spans="1:28" ht="14.25" x14ac:dyDescent="0.2">
      <c r="C411" s="23" t="s">
        <v>1132</v>
      </c>
      <c r="D411" s="23">
        <f>Source!BC110</f>
        <v>6.71</v>
      </c>
      <c r="F411" s="12"/>
      <c r="G411" s="12"/>
      <c r="H411" s="12"/>
    </row>
    <row r="412" spans="1:28" ht="42.75" x14ac:dyDescent="0.2">
      <c r="A412" s="46">
        <v>49</v>
      </c>
      <c r="B412" s="46" t="str">
        <f>Source!E111</f>
        <v>27,4</v>
      </c>
      <c r="C412" s="46" t="s">
        <v>1146</v>
      </c>
      <c r="D412" s="46" t="str">
        <f>Source!F111</f>
        <v>14.1.06.02-0037</v>
      </c>
      <c r="E412" s="31" t="str">
        <f>Source!H111</f>
        <v>кг</v>
      </c>
      <c r="F412" s="12">
        <f>Source!I111</f>
        <v>-217.35</v>
      </c>
      <c r="G412" s="22">
        <f>Source!AB111</f>
        <v>1.37</v>
      </c>
      <c r="H412" s="22">
        <f>Source!O111</f>
        <v>-1998.03</v>
      </c>
      <c r="T412">
        <f>Source!O111+Source!X111+Source!Y111</f>
        <v>-1998.03</v>
      </c>
      <c r="U412">
        <f>Source!P111</f>
        <v>-1998.03</v>
      </c>
      <c r="V412">
        <f>Source!S111</f>
        <v>0</v>
      </c>
      <c r="W412">
        <f>Source!Q111</f>
        <v>0</v>
      </c>
      <c r="X412">
        <f>Source!R111</f>
        <v>0</v>
      </c>
      <c r="Y412">
        <f>Source!U111</f>
        <v>0</v>
      </c>
      <c r="Z412">
        <f>Source!V111</f>
        <v>0</v>
      </c>
      <c r="AA412">
        <f>Source!X111</f>
        <v>0</v>
      </c>
      <c r="AB412">
        <f>Source!Y111</f>
        <v>0</v>
      </c>
    </row>
    <row r="413" spans="1:28" ht="14.25" x14ac:dyDescent="0.2">
      <c r="C413" s="23" t="s">
        <v>1132</v>
      </c>
      <c r="D413" s="23">
        <f>Source!BC111</f>
        <v>6.71</v>
      </c>
      <c r="F413" s="12"/>
      <c r="G413" s="12"/>
      <c r="H413" s="12"/>
    </row>
    <row r="414" spans="1:28" ht="28.5" x14ac:dyDescent="0.2">
      <c r="A414" s="46">
        <v>50</v>
      </c>
      <c r="B414" s="46" t="str">
        <f>Source!E112</f>
        <v>28</v>
      </c>
      <c r="C414" s="46" t="str">
        <f>Source!G112</f>
        <v>Устройство плинтусов из плиток керамических</v>
      </c>
      <c r="D414" s="46" t="str">
        <f>Source!F112</f>
        <v>11-01-039-04</v>
      </c>
      <c r="E414" s="31" t="str">
        <f>Source!H112</f>
        <v>100 м</v>
      </c>
      <c r="F414" s="12">
        <f>Source!I112</f>
        <v>0.46200000000000002</v>
      </c>
      <c r="G414" s="22">
        <f>Source!AB112</f>
        <v>320.86</v>
      </c>
      <c r="H414" s="22">
        <f>Source!O112</f>
        <v>994.68</v>
      </c>
      <c r="T414">
        <f>Source!O112+Source!X112+Source!Y112</f>
        <v>2701.8399999999997</v>
      </c>
      <c r="U414">
        <f>Source!P112</f>
        <v>0</v>
      </c>
      <c r="V414">
        <f>Source!S112</f>
        <v>969.1</v>
      </c>
      <c r="W414">
        <f>Source!Q112</f>
        <v>25.58</v>
      </c>
      <c r="X414">
        <f>Source!R112</f>
        <v>6.42</v>
      </c>
      <c r="Y414">
        <f>Source!U112</f>
        <v>15.186679199999999</v>
      </c>
      <c r="Z414">
        <f>Source!V112</f>
        <v>7.6230000000000006E-2</v>
      </c>
      <c r="AA414">
        <f>Source!X112</f>
        <v>1082.83</v>
      </c>
      <c r="AB414">
        <f>Source!Y112</f>
        <v>624.33000000000004</v>
      </c>
    </row>
    <row r="415" spans="1:28" ht="14.25" x14ac:dyDescent="0.2">
      <c r="C415" s="23" t="str">
        <f>"Объем: "&amp;Source!I112&amp;"=46,2/"&amp;"100"</f>
        <v>Объем: 0,462=46,2/100</v>
      </c>
      <c r="F415" s="12"/>
      <c r="G415" s="12"/>
      <c r="H415" s="12"/>
    </row>
    <row r="416" spans="1:28" x14ac:dyDescent="0.2">
      <c r="C416" s="23" t="s">
        <v>1130</v>
      </c>
      <c r="D416" s="23">
        <f>Source!BA112</f>
        <v>6.71</v>
      </c>
    </row>
    <row r="417" spans="1:28" x14ac:dyDescent="0.2">
      <c r="C417" s="23" t="s">
        <v>1131</v>
      </c>
      <c r="D417" s="23">
        <f>Source!BB112</f>
        <v>6.71</v>
      </c>
    </row>
    <row r="418" spans="1:28" x14ac:dyDescent="0.2">
      <c r="C418" s="23" t="s">
        <v>1132</v>
      </c>
      <c r="D418" s="23">
        <f>Source!BC112</f>
        <v>6.71</v>
      </c>
    </row>
    <row r="419" spans="1:28" x14ac:dyDescent="0.2">
      <c r="C419" s="23" t="s">
        <v>1133</v>
      </c>
      <c r="D419" s="23">
        <f>Source!BS112</f>
        <v>6.71</v>
      </c>
    </row>
    <row r="420" spans="1:28" x14ac:dyDescent="0.2">
      <c r="C420" s="23" t="s">
        <v>1140</v>
      </c>
      <c r="D420" s="88" t="s">
        <v>174</v>
      </c>
      <c r="E420" s="88"/>
      <c r="F420" s="88"/>
      <c r="G420" s="88"/>
      <c r="H420" s="88"/>
    </row>
    <row r="421" spans="1:28" x14ac:dyDescent="0.2">
      <c r="C421" s="23" t="s">
        <v>1141</v>
      </c>
      <c r="D421" s="88" t="s">
        <v>174</v>
      </c>
      <c r="E421" s="88"/>
      <c r="F421" s="88"/>
      <c r="G421" s="88"/>
      <c r="H421" s="88"/>
    </row>
    <row r="422" spans="1:28" x14ac:dyDescent="0.2">
      <c r="C422" s="23" t="s">
        <v>1142</v>
      </c>
      <c r="D422" s="88" t="s">
        <v>175</v>
      </c>
      <c r="E422" s="88"/>
      <c r="F422" s="88"/>
      <c r="G422" s="88"/>
      <c r="H422" s="88"/>
    </row>
    <row r="423" spans="1:28" x14ac:dyDescent="0.2">
      <c r="C423" s="23" t="s">
        <v>1143</v>
      </c>
      <c r="D423" s="88" t="s">
        <v>175</v>
      </c>
      <c r="E423" s="88"/>
      <c r="F423" s="88"/>
      <c r="G423" s="88"/>
      <c r="H423" s="88"/>
    </row>
    <row r="424" spans="1:28" x14ac:dyDescent="0.2">
      <c r="C424" s="23" t="s">
        <v>1144</v>
      </c>
      <c r="D424" s="88" t="s">
        <v>174</v>
      </c>
      <c r="E424" s="88"/>
      <c r="F424" s="88"/>
      <c r="G424" s="88"/>
      <c r="H424" s="88"/>
    </row>
    <row r="425" spans="1:28" x14ac:dyDescent="0.2">
      <c r="C425" s="9" t="s">
        <v>1134</v>
      </c>
      <c r="D425" s="34"/>
      <c r="E425" s="34"/>
      <c r="F425" s="34">
        <f>Source!BZ112</f>
        <v>123</v>
      </c>
      <c r="G425" s="57">
        <f>(Source!AF112+Source!AE112)*Source!FX112/100</f>
        <v>348.35076000000004</v>
      </c>
      <c r="H425" s="57">
        <f>Source!X112</f>
        <v>1082.83</v>
      </c>
    </row>
    <row r="426" spans="1:28" x14ac:dyDescent="0.2">
      <c r="C426" s="9" t="s">
        <v>1135</v>
      </c>
      <c r="D426" s="34"/>
      <c r="E426" s="34"/>
      <c r="F426" s="34"/>
      <c r="G426" s="34" t="str">
        <f>CONCATENATE(Source!DL112,Source!FT112, "=", Source!FX112, "%")</f>
        <v>*0,9=110,7%</v>
      </c>
      <c r="H426" s="34" t="str">
        <f>CONCATENATE(Source!AT112)</f>
        <v>111</v>
      </c>
    </row>
    <row r="427" spans="1:28" x14ac:dyDescent="0.2">
      <c r="C427" s="9" t="s">
        <v>1136</v>
      </c>
      <c r="D427" s="34"/>
      <c r="E427" s="34"/>
      <c r="F427" s="34">
        <f>Source!CA112</f>
        <v>75</v>
      </c>
      <c r="G427" s="57">
        <f>(Source!AF112+Source!AE112)*Source!FY112/100</f>
        <v>200.60850000000002</v>
      </c>
      <c r="H427" s="57">
        <f>Source!Y112</f>
        <v>624.33000000000004</v>
      </c>
    </row>
    <row r="428" spans="1:28" x14ac:dyDescent="0.2">
      <c r="C428" s="9" t="s">
        <v>1137</v>
      </c>
      <c r="D428" s="34"/>
      <c r="E428" s="34"/>
      <c r="F428" s="34"/>
      <c r="G428" s="34" t="str">
        <f>CONCATENATE(Source!DM112,Source!FU112, "=", Source!FY112, "%")</f>
        <v>*0,85=63,75%</v>
      </c>
      <c r="H428" s="34" t="str">
        <f>CONCATENATE(Source!AU112)</f>
        <v>64</v>
      </c>
    </row>
    <row r="429" spans="1:28" x14ac:dyDescent="0.2">
      <c r="C429" s="9" t="s">
        <v>1138</v>
      </c>
      <c r="D429" s="34"/>
      <c r="E429" s="34"/>
      <c r="F429" s="34"/>
      <c r="G429" s="57">
        <f>((Source!AF112+Source!AE112)*Source!FX112/100)+((Source!AF112+Source!AE112)*Source!FY112/100)+Source!AB112</f>
        <v>869.8192600000001</v>
      </c>
      <c r="H429" s="57">
        <f>Source!O112+Source!X112+Source!Y112</f>
        <v>2701.8399999999997</v>
      </c>
    </row>
    <row r="430" spans="1:28" ht="28.5" x14ac:dyDescent="0.2">
      <c r="A430" s="46">
        <v>51</v>
      </c>
      <c r="B430" s="46" t="str">
        <f>Source!E113</f>
        <v>28,1</v>
      </c>
      <c r="C430" s="46" t="str">
        <f>Source!G113</f>
        <v>Раствор готовый кладочный тяжелый цементный</v>
      </c>
      <c r="D430" s="46" t="str">
        <f>Source!F113</f>
        <v>04.3.01.09</v>
      </c>
      <c r="E430" s="31" t="str">
        <f>Source!H113</f>
        <v>м3</v>
      </c>
      <c r="F430" s="12">
        <f>Source!I113</f>
        <v>7.392E-2</v>
      </c>
      <c r="G430" s="22">
        <f>Source!AB113</f>
        <v>0</v>
      </c>
      <c r="H430" s="22">
        <f>Source!O113</f>
        <v>0</v>
      </c>
      <c r="T430">
        <f>Source!O113+Source!X113+Source!Y113</f>
        <v>0</v>
      </c>
      <c r="U430">
        <f>Source!P113</f>
        <v>0</v>
      </c>
      <c r="V430">
        <f>Source!S113</f>
        <v>0</v>
      </c>
      <c r="W430">
        <f>Source!Q113</f>
        <v>0</v>
      </c>
      <c r="X430">
        <f>Source!R113</f>
        <v>0</v>
      </c>
      <c r="Y430">
        <f>Source!U113</f>
        <v>0</v>
      </c>
      <c r="Z430">
        <f>Source!V113</f>
        <v>0</v>
      </c>
      <c r="AA430">
        <f>Source!X113</f>
        <v>0</v>
      </c>
      <c r="AB430">
        <f>Source!Y113</f>
        <v>0</v>
      </c>
    </row>
    <row r="431" spans="1:28" ht="14.25" x14ac:dyDescent="0.2">
      <c r="C431" s="23" t="s">
        <v>1132</v>
      </c>
      <c r="D431" s="23">
        <f>Source!BC113</f>
        <v>6.71</v>
      </c>
      <c r="F431" s="12"/>
      <c r="G431" s="12"/>
      <c r="H431" s="12"/>
    </row>
    <row r="432" spans="1:28" ht="28.5" x14ac:dyDescent="0.2">
      <c r="A432" s="46">
        <v>52</v>
      </c>
      <c r="B432" s="46" t="str">
        <f>Source!E114</f>
        <v>28,2</v>
      </c>
      <c r="C432" s="46" t="str">
        <f>Source!G114</f>
        <v>Раствор готовый кладочный цементный</v>
      </c>
      <c r="D432" s="46" t="str">
        <f>Source!F114</f>
        <v>04.3.01.09-0017</v>
      </c>
      <c r="E432" s="31" t="str">
        <f>Source!H114</f>
        <v>м3</v>
      </c>
      <c r="F432" s="12">
        <f>Source!I114</f>
        <v>7.392E-2</v>
      </c>
      <c r="G432" s="22">
        <f>Source!AB114</f>
        <v>651.78</v>
      </c>
      <c r="H432" s="22">
        <f>Source!O114</f>
        <v>323.27999999999997</v>
      </c>
      <c r="T432">
        <f>Source!O114+Source!X114+Source!Y114</f>
        <v>323.27999999999997</v>
      </c>
      <c r="U432">
        <f>Source!P114</f>
        <v>323.27999999999997</v>
      </c>
      <c r="V432">
        <f>Source!S114</f>
        <v>0</v>
      </c>
      <c r="W432">
        <f>Source!Q114</f>
        <v>0</v>
      </c>
      <c r="X432">
        <f>Source!R114</f>
        <v>0</v>
      </c>
      <c r="Y432">
        <f>Source!U114</f>
        <v>0</v>
      </c>
      <c r="Z432">
        <f>Source!V114</f>
        <v>0</v>
      </c>
      <c r="AA432">
        <f>Source!X114</f>
        <v>0</v>
      </c>
      <c r="AB432">
        <f>Source!Y114</f>
        <v>0</v>
      </c>
    </row>
    <row r="433" spans="1:28" ht="14.25" x14ac:dyDescent="0.2">
      <c r="C433" s="23" t="s">
        <v>1132</v>
      </c>
      <c r="D433" s="23">
        <f>Source!BC114</f>
        <v>6.71</v>
      </c>
      <c r="F433" s="12"/>
      <c r="G433" s="12"/>
      <c r="H433" s="12"/>
    </row>
    <row r="434" spans="1:28" ht="14.25" x14ac:dyDescent="0.2">
      <c r="A434" s="46">
        <v>53</v>
      </c>
      <c r="B434" s="46" t="str">
        <f>Source!E115</f>
        <v>28,3</v>
      </c>
      <c r="C434" s="46" t="str">
        <f>Source!G115</f>
        <v>Плитки керамические плинтусные</v>
      </c>
      <c r="D434" s="46" t="str">
        <f>Source!F115</f>
        <v>06.2.05.03</v>
      </c>
      <c r="E434" s="31" t="str">
        <f>Source!H115</f>
        <v>м</v>
      </c>
      <c r="F434" s="12">
        <f>Source!I115</f>
        <v>46.661999999999999</v>
      </c>
      <c r="G434" s="22">
        <f>Source!AB115</f>
        <v>0</v>
      </c>
      <c r="H434" s="22">
        <f>Source!O115</f>
        <v>0</v>
      </c>
      <c r="T434">
        <f>Source!O115+Source!X115+Source!Y115</f>
        <v>0</v>
      </c>
      <c r="U434">
        <f>Source!P115</f>
        <v>0</v>
      </c>
      <c r="V434">
        <f>Source!S115</f>
        <v>0</v>
      </c>
      <c r="W434">
        <f>Source!Q115</f>
        <v>0</v>
      </c>
      <c r="X434">
        <f>Source!R115</f>
        <v>0</v>
      </c>
      <c r="Y434">
        <f>Source!U115</f>
        <v>0</v>
      </c>
      <c r="Z434">
        <f>Source!V115</f>
        <v>0</v>
      </c>
      <c r="AA434">
        <f>Source!X115</f>
        <v>0</v>
      </c>
      <c r="AB434">
        <f>Source!Y115</f>
        <v>0</v>
      </c>
    </row>
    <row r="435" spans="1:28" ht="14.25" x14ac:dyDescent="0.2">
      <c r="C435" s="23" t="s">
        <v>1132</v>
      </c>
      <c r="D435" s="23">
        <f>Source!BC115</f>
        <v>6.71</v>
      </c>
      <c r="F435" s="12"/>
      <c r="G435" s="12"/>
      <c r="H435" s="12"/>
    </row>
    <row r="436" spans="1:28" ht="28.5" x14ac:dyDescent="0.2">
      <c r="A436" s="46">
        <v>54</v>
      </c>
      <c r="B436" s="46" t="str">
        <f>Source!E116</f>
        <v>28,4</v>
      </c>
      <c r="C436" s="46" t="str">
        <f>Source!G116</f>
        <v>Плитки керамические плинтусные прямые</v>
      </c>
      <c r="D436" s="46" t="str">
        <f>Source!F116</f>
        <v>06.2.05.03-0031</v>
      </c>
      <c r="E436" s="31" t="str">
        <f>Source!H116</f>
        <v>м</v>
      </c>
      <c r="F436" s="12">
        <f>Source!I116</f>
        <v>46.661999999999999</v>
      </c>
      <c r="G436" s="22">
        <f>Source!AB116</f>
        <v>23.73</v>
      </c>
      <c r="H436" s="22">
        <f>Source!O116</f>
        <v>7429.91</v>
      </c>
      <c r="T436">
        <f>Source!O116+Source!X116+Source!Y116</f>
        <v>7429.91</v>
      </c>
      <c r="U436">
        <f>Source!P116</f>
        <v>7429.91</v>
      </c>
      <c r="V436">
        <f>Source!S116</f>
        <v>0</v>
      </c>
      <c r="W436">
        <f>Source!Q116</f>
        <v>0</v>
      </c>
      <c r="X436">
        <f>Source!R116</f>
        <v>0</v>
      </c>
      <c r="Y436">
        <f>Source!U116</f>
        <v>0</v>
      </c>
      <c r="Z436">
        <f>Source!V116</f>
        <v>0</v>
      </c>
      <c r="AA436">
        <f>Source!X116</f>
        <v>0</v>
      </c>
      <c r="AB436">
        <f>Source!Y116</f>
        <v>0</v>
      </c>
    </row>
    <row r="437" spans="1:28" ht="14.25" x14ac:dyDescent="0.2">
      <c r="C437" s="23" t="s">
        <v>1132</v>
      </c>
      <c r="D437" s="23">
        <f>Source!BC116</f>
        <v>6.71</v>
      </c>
      <c r="F437" s="12"/>
      <c r="G437" s="12"/>
      <c r="H437" s="12"/>
    </row>
    <row r="438" spans="1:28" ht="42.75" x14ac:dyDescent="0.2">
      <c r="A438" s="46">
        <v>55</v>
      </c>
      <c r="B438" s="46" t="str">
        <f>Source!E117</f>
        <v>29</v>
      </c>
      <c r="C438" s="46" t="str">
        <f>Source!G117</f>
        <v>Устройство плинтусов поливинилхлоридных на винтах самонарезающих</v>
      </c>
      <c r="D438" s="46" t="str">
        <f>Source!F117</f>
        <v>11-01-040-03</v>
      </c>
      <c r="E438" s="31" t="str">
        <f>Source!H117</f>
        <v>100 м</v>
      </c>
      <c r="F438" s="12">
        <f>Source!I117</f>
        <v>1.075</v>
      </c>
      <c r="G438" s="22">
        <f>Source!AB117</f>
        <v>161.46</v>
      </c>
      <c r="H438" s="22">
        <f>Source!O117</f>
        <v>1164.6500000000001</v>
      </c>
      <c r="T438">
        <f>Source!O117+Source!X117+Source!Y117</f>
        <v>2240.7800000000002</v>
      </c>
      <c r="U438">
        <f>Source!P117</f>
        <v>531.17999999999995</v>
      </c>
      <c r="V438">
        <f>Source!S117</f>
        <v>610.39</v>
      </c>
      <c r="W438">
        <f>Source!Q117</f>
        <v>23.08</v>
      </c>
      <c r="X438">
        <f>Source!R117</f>
        <v>4.54</v>
      </c>
      <c r="Y438">
        <f>Source!U117</f>
        <v>9.9097799999999978</v>
      </c>
      <c r="Z438">
        <f>Source!V117</f>
        <v>6.4500000000000002E-2</v>
      </c>
      <c r="AA438">
        <f>Source!X117</f>
        <v>682.57</v>
      </c>
      <c r="AB438">
        <f>Source!Y117</f>
        <v>393.56</v>
      </c>
    </row>
    <row r="439" spans="1:28" ht="14.25" x14ac:dyDescent="0.2">
      <c r="C439" s="23" t="str">
        <f>"Объем: "&amp;Source!I117&amp;"=107,5/"&amp;"100"</f>
        <v>Объем: 1,075=107,5/100</v>
      </c>
      <c r="F439" s="12"/>
      <c r="G439" s="12"/>
      <c r="H439" s="12"/>
    </row>
    <row r="440" spans="1:28" x14ac:dyDescent="0.2">
      <c r="C440" s="23" t="s">
        <v>1130</v>
      </c>
      <c r="D440" s="23">
        <f>Source!BA117</f>
        <v>6.71</v>
      </c>
    </row>
    <row r="441" spans="1:28" x14ac:dyDescent="0.2">
      <c r="C441" s="23" t="s">
        <v>1131</v>
      </c>
      <c r="D441" s="23">
        <f>Source!BB117</f>
        <v>6.71</v>
      </c>
    </row>
    <row r="442" spans="1:28" x14ac:dyDescent="0.2">
      <c r="C442" s="23" t="s">
        <v>1132</v>
      </c>
      <c r="D442" s="23">
        <f>Source!BC117</f>
        <v>6.71</v>
      </c>
    </row>
    <row r="443" spans="1:28" x14ac:dyDescent="0.2">
      <c r="C443" s="23" t="s">
        <v>1133</v>
      </c>
      <c r="D443" s="23">
        <f>Source!BS117</f>
        <v>6.71</v>
      </c>
    </row>
    <row r="444" spans="1:28" x14ac:dyDescent="0.2">
      <c r="C444" s="23" t="s">
        <v>1140</v>
      </c>
      <c r="D444" s="88" t="s">
        <v>174</v>
      </c>
      <c r="E444" s="88"/>
      <c r="F444" s="88"/>
      <c r="G444" s="88"/>
      <c r="H444" s="88"/>
    </row>
    <row r="445" spans="1:28" x14ac:dyDescent="0.2">
      <c r="C445" s="23" t="s">
        <v>1141</v>
      </c>
      <c r="D445" s="88" t="s">
        <v>174</v>
      </c>
      <c r="E445" s="88"/>
      <c r="F445" s="88"/>
      <c r="G445" s="88"/>
      <c r="H445" s="88"/>
    </row>
    <row r="446" spans="1:28" x14ac:dyDescent="0.2">
      <c r="C446" s="23" t="s">
        <v>1142</v>
      </c>
      <c r="D446" s="88" t="s">
        <v>175</v>
      </c>
      <c r="E446" s="88"/>
      <c r="F446" s="88"/>
      <c r="G446" s="88"/>
      <c r="H446" s="88"/>
    </row>
    <row r="447" spans="1:28" x14ac:dyDescent="0.2">
      <c r="C447" s="23" t="s">
        <v>1143</v>
      </c>
      <c r="D447" s="88" t="s">
        <v>175</v>
      </c>
      <c r="E447" s="88"/>
      <c r="F447" s="88"/>
      <c r="G447" s="88"/>
      <c r="H447" s="88"/>
    </row>
    <row r="448" spans="1:28" x14ac:dyDescent="0.2">
      <c r="C448" s="23" t="s">
        <v>1144</v>
      </c>
      <c r="D448" s="88" t="s">
        <v>174</v>
      </c>
      <c r="E448" s="88"/>
      <c r="F448" s="88"/>
      <c r="G448" s="88"/>
      <c r="H448" s="88"/>
    </row>
    <row r="449" spans="1:28" x14ac:dyDescent="0.2">
      <c r="C449" s="9" t="s">
        <v>1134</v>
      </c>
      <c r="D449" s="34"/>
      <c r="E449" s="34"/>
      <c r="F449" s="34">
        <f>Source!BZ117</f>
        <v>123</v>
      </c>
      <c r="G449" s="57">
        <f>(Source!AF117+Source!AE117)*Source!FX117/100</f>
        <v>94.371750000000006</v>
      </c>
      <c r="H449" s="57">
        <f>Source!X117</f>
        <v>682.57</v>
      </c>
    </row>
    <row r="450" spans="1:28" x14ac:dyDescent="0.2">
      <c r="C450" s="9" t="s">
        <v>1135</v>
      </c>
      <c r="D450" s="34"/>
      <c r="E450" s="34"/>
      <c r="F450" s="34"/>
      <c r="G450" s="34" t="str">
        <f>CONCATENATE(Source!DL117,Source!FT117, "=", Source!FX117, "%")</f>
        <v>*0,9=110,7%</v>
      </c>
      <c r="H450" s="34" t="str">
        <f>CONCATENATE(Source!AT117)</f>
        <v>111</v>
      </c>
    </row>
    <row r="451" spans="1:28" x14ac:dyDescent="0.2">
      <c r="C451" s="9" t="s">
        <v>1136</v>
      </c>
      <c r="D451" s="34"/>
      <c r="E451" s="34"/>
      <c r="F451" s="34">
        <f>Source!CA117</f>
        <v>75</v>
      </c>
      <c r="G451" s="57">
        <f>(Source!AF117+Source!AE117)*Source!FY117/100</f>
        <v>54.346874999999997</v>
      </c>
      <c r="H451" s="57">
        <f>Source!Y117</f>
        <v>393.56</v>
      </c>
    </row>
    <row r="452" spans="1:28" x14ac:dyDescent="0.2">
      <c r="C452" s="9" t="s">
        <v>1137</v>
      </c>
      <c r="D452" s="34"/>
      <c r="E452" s="34"/>
      <c r="F452" s="34"/>
      <c r="G452" s="34" t="str">
        <f>CONCATENATE(Source!DM117,Source!FU117, "=", Source!FY117, "%")</f>
        <v>*0,85=63,75%</v>
      </c>
      <c r="H452" s="34" t="str">
        <f>CONCATENATE(Source!AU117)</f>
        <v>64</v>
      </c>
    </row>
    <row r="453" spans="1:28" x14ac:dyDescent="0.2">
      <c r="C453" s="9" t="s">
        <v>1138</v>
      </c>
      <c r="D453" s="34"/>
      <c r="E453" s="34"/>
      <c r="F453" s="34"/>
      <c r="G453" s="57">
        <f>((Source!AF117+Source!AE117)*Source!FX117/100)+((Source!AF117+Source!AE117)*Source!FY117/100)+Source!AB117</f>
        <v>310.17862500000001</v>
      </c>
      <c r="H453" s="57">
        <f>Source!O117+Source!X117+Source!Y117</f>
        <v>2240.7800000000002</v>
      </c>
    </row>
    <row r="454" spans="1:28" ht="28.5" x14ac:dyDescent="0.2">
      <c r="A454" s="46">
        <v>56</v>
      </c>
      <c r="B454" s="46" t="str">
        <f>Source!E118</f>
        <v>29,1</v>
      </c>
      <c r="C454" s="46" t="str">
        <f>Source!G118</f>
        <v>Плинтуса для полов пластиковые, 19х48 мм</v>
      </c>
      <c r="D454" s="46" t="str">
        <f>Source!F118</f>
        <v>11.3.03.06-0001</v>
      </c>
      <c r="E454" s="31" t="str">
        <f>Source!H118</f>
        <v>м</v>
      </c>
      <c r="F454" s="12">
        <f>Source!I118</f>
        <v>108.57499999999999</v>
      </c>
      <c r="G454" s="22">
        <f>Source!AB118</f>
        <v>12.3</v>
      </c>
      <c r="H454" s="22">
        <f>Source!O118</f>
        <v>8961.02</v>
      </c>
      <c r="T454">
        <f>Source!O118+Source!X118+Source!Y118</f>
        <v>8961.02</v>
      </c>
      <c r="U454">
        <f>Source!P118</f>
        <v>8961.02</v>
      </c>
      <c r="V454">
        <f>Source!S118</f>
        <v>0</v>
      </c>
      <c r="W454">
        <f>Source!Q118</f>
        <v>0</v>
      </c>
      <c r="X454">
        <f>Source!R118</f>
        <v>0</v>
      </c>
      <c r="Y454">
        <f>Source!U118</f>
        <v>0</v>
      </c>
      <c r="Z454">
        <f>Source!V118</f>
        <v>0</v>
      </c>
      <c r="AA454">
        <f>Source!X118</f>
        <v>0</v>
      </c>
      <c r="AB454">
        <f>Source!Y118</f>
        <v>0</v>
      </c>
    </row>
    <row r="455" spans="1:28" ht="14.25" x14ac:dyDescent="0.2">
      <c r="C455" s="23" t="s">
        <v>1132</v>
      </c>
      <c r="D455" s="23">
        <f>Source!BC118</f>
        <v>6.71</v>
      </c>
      <c r="F455" s="12"/>
      <c r="G455" s="12"/>
      <c r="H455" s="12"/>
    </row>
    <row r="456" spans="1:28" ht="28.5" x14ac:dyDescent="0.2">
      <c r="A456" s="46">
        <v>57</v>
      </c>
      <c r="B456" s="46" t="str">
        <f>Source!E119</f>
        <v>29,2</v>
      </c>
      <c r="C456" s="46" t="str">
        <f>Source!G119</f>
        <v>Заглушка торцевая для пластикового плинтуса левая, высота 48 мм</v>
      </c>
      <c r="D456" s="46" t="str">
        <f>Source!F119</f>
        <v>11.3.03.14-0001</v>
      </c>
      <c r="E456" s="31" t="str">
        <f>Source!H119</f>
        <v>100 шт.</v>
      </c>
      <c r="F456" s="12">
        <f>Source!I119</f>
        <v>0.08</v>
      </c>
      <c r="G456" s="22">
        <f>Source!AB119</f>
        <v>63</v>
      </c>
      <c r="H456" s="22">
        <f>Source!O119</f>
        <v>33.82</v>
      </c>
      <c r="T456">
        <f>Source!O119+Source!X119+Source!Y119</f>
        <v>33.82</v>
      </c>
      <c r="U456">
        <f>Source!P119</f>
        <v>33.82</v>
      </c>
      <c r="V456">
        <f>Source!S119</f>
        <v>0</v>
      </c>
      <c r="W456">
        <f>Source!Q119</f>
        <v>0</v>
      </c>
      <c r="X456">
        <f>Source!R119</f>
        <v>0</v>
      </c>
      <c r="Y456">
        <f>Source!U119</f>
        <v>0</v>
      </c>
      <c r="Z456">
        <f>Source!V119</f>
        <v>0</v>
      </c>
      <c r="AA456">
        <f>Source!X119</f>
        <v>0</v>
      </c>
      <c r="AB456">
        <f>Source!Y119</f>
        <v>0</v>
      </c>
    </row>
    <row r="457" spans="1:28" ht="14.25" x14ac:dyDescent="0.2">
      <c r="C457" s="23" t="s">
        <v>1132</v>
      </c>
      <c r="D457" s="23">
        <f>Source!BC119</f>
        <v>6.71</v>
      </c>
      <c r="F457" s="12"/>
      <c r="G457" s="12"/>
      <c r="H457" s="12"/>
    </row>
    <row r="458" spans="1:28" ht="28.5" x14ac:dyDescent="0.2">
      <c r="A458" s="46">
        <v>58</v>
      </c>
      <c r="B458" s="46" t="str">
        <f>Source!E120</f>
        <v>29,3</v>
      </c>
      <c r="C458" s="46" t="str">
        <f>Source!G120</f>
        <v>Заглушки торцевая для пластикового плинтуса правая, высота 48 мм</v>
      </c>
      <c r="D458" s="46" t="str">
        <f>Source!F120</f>
        <v>11.3.03.14-0011</v>
      </c>
      <c r="E458" s="31" t="str">
        <f>Source!H120</f>
        <v>100 шт.</v>
      </c>
      <c r="F458" s="12">
        <f>Source!I120</f>
        <v>0.08</v>
      </c>
      <c r="G458" s="22">
        <f>Source!AB120</f>
        <v>63</v>
      </c>
      <c r="H458" s="22">
        <f>Source!O120</f>
        <v>33.82</v>
      </c>
      <c r="T458">
        <f>Source!O120+Source!X120+Source!Y120</f>
        <v>33.82</v>
      </c>
      <c r="U458">
        <f>Source!P120</f>
        <v>33.82</v>
      </c>
      <c r="V458">
        <f>Source!S120</f>
        <v>0</v>
      </c>
      <c r="W458">
        <f>Source!Q120</f>
        <v>0</v>
      </c>
      <c r="X458">
        <f>Source!R120</f>
        <v>0</v>
      </c>
      <c r="Y458">
        <f>Source!U120</f>
        <v>0</v>
      </c>
      <c r="Z458">
        <f>Source!V120</f>
        <v>0</v>
      </c>
      <c r="AA458">
        <f>Source!X120</f>
        <v>0</v>
      </c>
      <c r="AB458">
        <f>Source!Y120</f>
        <v>0</v>
      </c>
    </row>
    <row r="459" spans="1:28" ht="14.25" x14ac:dyDescent="0.2">
      <c r="C459" s="23" t="s">
        <v>1132</v>
      </c>
      <c r="D459" s="23">
        <f>Source!BC120</f>
        <v>6.71</v>
      </c>
      <c r="F459" s="12"/>
      <c r="G459" s="12"/>
      <c r="H459" s="12"/>
    </row>
    <row r="460" spans="1:28" ht="28.5" x14ac:dyDescent="0.2">
      <c r="A460" s="46">
        <v>59</v>
      </c>
      <c r="B460" s="46" t="str">
        <f>Source!E121</f>
        <v>29,4</v>
      </c>
      <c r="C460" s="46" t="str">
        <f>Source!G121</f>
        <v>Соединитель для пластикового плинтуса, высота 48 мм</v>
      </c>
      <c r="D460" s="46" t="str">
        <f>Source!F121</f>
        <v>11.3.03.14-0021</v>
      </c>
      <c r="E460" s="31" t="str">
        <f>Source!H121</f>
        <v>100 шт.</v>
      </c>
      <c r="F460" s="12">
        <f>Source!I121</f>
        <v>0.43</v>
      </c>
      <c r="G460" s="22">
        <f>Source!AB121</f>
        <v>128</v>
      </c>
      <c r="H460" s="22">
        <f>Source!O121</f>
        <v>369.32</v>
      </c>
      <c r="T460">
        <f>Source!O121+Source!X121+Source!Y121</f>
        <v>369.32</v>
      </c>
      <c r="U460">
        <f>Source!P121</f>
        <v>369.32</v>
      </c>
      <c r="V460">
        <f>Source!S121</f>
        <v>0</v>
      </c>
      <c r="W460">
        <f>Source!Q121</f>
        <v>0</v>
      </c>
      <c r="X460">
        <f>Source!R121</f>
        <v>0</v>
      </c>
      <c r="Y460">
        <f>Source!U121</f>
        <v>0</v>
      </c>
      <c r="Z460">
        <f>Source!V121</f>
        <v>0</v>
      </c>
      <c r="AA460">
        <f>Source!X121</f>
        <v>0</v>
      </c>
      <c r="AB460">
        <f>Source!Y121</f>
        <v>0</v>
      </c>
    </row>
    <row r="461" spans="1:28" ht="14.25" x14ac:dyDescent="0.2">
      <c r="C461" s="23" t="s">
        <v>1132</v>
      </c>
      <c r="D461" s="23">
        <f>Source!BC121</f>
        <v>6.71</v>
      </c>
      <c r="F461" s="12"/>
      <c r="G461" s="12"/>
      <c r="H461" s="12"/>
    </row>
    <row r="462" spans="1:28" ht="28.5" x14ac:dyDescent="0.2">
      <c r="A462" s="46">
        <v>60</v>
      </c>
      <c r="B462" s="46" t="str">
        <f>Source!E122</f>
        <v>29,5</v>
      </c>
      <c r="C462" s="46" t="str">
        <f>Source!G122</f>
        <v>Уголок внутренний для пластикового плинтуса, высота 48 мм</v>
      </c>
      <c r="D462" s="46" t="str">
        <f>Source!F122</f>
        <v>11.3.03.14-0031</v>
      </c>
      <c r="E462" s="31" t="str">
        <f>Source!H122</f>
        <v>100 шт.</v>
      </c>
      <c r="F462" s="12">
        <f>Source!I122</f>
        <v>7.0000000000000007E-2</v>
      </c>
      <c r="G462" s="22">
        <f>Source!AB122</f>
        <v>128</v>
      </c>
      <c r="H462" s="22">
        <f>Source!O122</f>
        <v>60.12</v>
      </c>
      <c r="T462">
        <f>Source!O122+Source!X122+Source!Y122</f>
        <v>60.12</v>
      </c>
      <c r="U462">
        <f>Source!P122</f>
        <v>60.12</v>
      </c>
      <c r="V462">
        <f>Source!S122</f>
        <v>0</v>
      </c>
      <c r="W462">
        <f>Source!Q122</f>
        <v>0</v>
      </c>
      <c r="X462">
        <f>Source!R122</f>
        <v>0</v>
      </c>
      <c r="Y462">
        <f>Source!U122</f>
        <v>0</v>
      </c>
      <c r="Z462">
        <f>Source!V122</f>
        <v>0</v>
      </c>
      <c r="AA462">
        <f>Source!X122</f>
        <v>0</v>
      </c>
      <c r="AB462">
        <f>Source!Y122</f>
        <v>0</v>
      </c>
    </row>
    <row r="463" spans="1:28" ht="14.25" x14ac:dyDescent="0.2">
      <c r="C463" s="23" t="s">
        <v>1132</v>
      </c>
      <c r="D463" s="23">
        <f>Source!BC122</f>
        <v>6.71</v>
      </c>
      <c r="F463" s="12"/>
      <c r="G463" s="12"/>
      <c r="H463" s="12"/>
    </row>
    <row r="464" spans="1:28" ht="28.5" x14ac:dyDescent="0.2">
      <c r="A464" s="46">
        <v>61</v>
      </c>
      <c r="B464" s="46" t="str">
        <f>Source!E123</f>
        <v>29,6</v>
      </c>
      <c r="C464" s="46" t="str">
        <f>Source!G123</f>
        <v>Уголок наружный для пластикового плинтуса, высота 48 мм</v>
      </c>
      <c r="D464" s="46" t="str">
        <f>Source!F123</f>
        <v>11.3.03.14-0033</v>
      </c>
      <c r="E464" s="31" t="str">
        <f>Source!H123</f>
        <v>100 шт.</v>
      </c>
      <c r="F464" s="12">
        <f>Source!I123</f>
        <v>7.0000000000000007E-2</v>
      </c>
      <c r="G464" s="22">
        <f>Source!AB123</f>
        <v>128</v>
      </c>
      <c r="H464" s="22">
        <f>Source!O123</f>
        <v>60.12</v>
      </c>
      <c r="T464">
        <f>Source!O123+Source!X123+Source!Y123</f>
        <v>60.12</v>
      </c>
      <c r="U464">
        <f>Source!P123</f>
        <v>60.12</v>
      </c>
      <c r="V464">
        <f>Source!S123</f>
        <v>0</v>
      </c>
      <c r="W464">
        <f>Source!Q123</f>
        <v>0</v>
      </c>
      <c r="X464">
        <f>Source!R123</f>
        <v>0</v>
      </c>
      <c r="Y464">
        <f>Source!U123</f>
        <v>0</v>
      </c>
      <c r="Z464">
        <f>Source!V123</f>
        <v>0</v>
      </c>
      <c r="AA464">
        <f>Source!X123</f>
        <v>0</v>
      </c>
      <c r="AB464">
        <f>Source!Y123</f>
        <v>0</v>
      </c>
    </row>
    <row r="465" spans="1:28" ht="14.25" x14ac:dyDescent="0.2">
      <c r="C465" s="23" t="s">
        <v>1132</v>
      </c>
      <c r="D465" s="23">
        <f>Source!BC123</f>
        <v>6.71</v>
      </c>
      <c r="F465" s="12"/>
      <c r="G465" s="12"/>
      <c r="H465" s="12"/>
    </row>
    <row r="466" spans="1:28" ht="14.25" x14ac:dyDescent="0.2">
      <c r="A466" s="46">
        <v>62</v>
      </c>
      <c r="B466" s="46" t="str">
        <f>Source!E124</f>
        <v>29,7</v>
      </c>
      <c r="C466" s="46" t="str">
        <f>Source!G124</f>
        <v>Плинтуса для полов пластиковые</v>
      </c>
      <c r="D466" s="46" t="str">
        <f>Source!F124</f>
        <v>11.3.03.06</v>
      </c>
      <c r="E466" s="31" t="str">
        <f>Source!H124</f>
        <v>м</v>
      </c>
      <c r="F466" s="12">
        <f>Source!I124</f>
        <v>108.57499999999999</v>
      </c>
      <c r="G466" s="22">
        <f>Source!AB124</f>
        <v>0</v>
      </c>
      <c r="H466" s="22">
        <f>Source!O124</f>
        <v>0</v>
      </c>
      <c r="T466">
        <f>Source!O124+Source!X124+Source!Y124</f>
        <v>0</v>
      </c>
      <c r="U466">
        <f>Source!P124</f>
        <v>0</v>
      </c>
      <c r="V466">
        <f>Source!S124</f>
        <v>0</v>
      </c>
      <c r="W466">
        <f>Source!Q124</f>
        <v>0</v>
      </c>
      <c r="X466">
        <f>Source!R124</f>
        <v>0</v>
      </c>
      <c r="Y466">
        <f>Source!U124</f>
        <v>0</v>
      </c>
      <c r="Z466">
        <f>Source!V124</f>
        <v>0</v>
      </c>
      <c r="AA466">
        <f>Source!X124</f>
        <v>0</v>
      </c>
      <c r="AB466">
        <f>Source!Y124</f>
        <v>0</v>
      </c>
    </row>
    <row r="467" spans="1:28" ht="14.25" x14ac:dyDescent="0.2">
      <c r="C467" s="23" t="s">
        <v>1132</v>
      </c>
      <c r="D467" s="23">
        <f>Source!BC124</f>
        <v>6.71</v>
      </c>
      <c r="F467" s="12"/>
      <c r="G467" s="12"/>
      <c r="H467" s="12"/>
    </row>
    <row r="468" spans="1:28" ht="28.5" x14ac:dyDescent="0.2">
      <c r="A468" s="46">
        <v>63</v>
      </c>
      <c r="B468" s="46" t="str">
        <f>Source!E125</f>
        <v>29,8</v>
      </c>
      <c r="C468" s="46" t="str">
        <f>Source!G125</f>
        <v>Уголок наружный для пластикового плинтуса</v>
      </c>
      <c r="D468" s="46" t="str">
        <f>Source!F125</f>
        <v>11.3.03.14</v>
      </c>
      <c r="E468" s="31" t="str">
        <f>Source!H125</f>
        <v>шт.</v>
      </c>
      <c r="F468" s="12">
        <f>Source!I125</f>
        <v>7</v>
      </c>
      <c r="G468" s="22">
        <f>Source!AB125</f>
        <v>0</v>
      </c>
      <c r="H468" s="22">
        <f>Source!O125</f>
        <v>0</v>
      </c>
      <c r="T468">
        <f>Source!O125+Source!X125+Source!Y125</f>
        <v>0</v>
      </c>
      <c r="U468">
        <f>Source!P125</f>
        <v>0</v>
      </c>
      <c r="V468">
        <f>Source!S125</f>
        <v>0</v>
      </c>
      <c r="W468">
        <f>Source!Q125</f>
        <v>0</v>
      </c>
      <c r="X468">
        <f>Source!R125</f>
        <v>0</v>
      </c>
      <c r="Y468">
        <f>Source!U125</f>
        <v>0</v>
      </c>
      <c r="Z468">
        <f>Source!V125</f>
        <v>0</v>
      </c>
      <c r="AA468">
        <f>Source!X125</f>
        <v>0</v>
      </c>
      <c r="AB468">
        <f>Source!Y125</f>
        <v>0</v>
      </c>
    </row>
    <row r="469" spans="1:28" ht="14.25" x14ac:dyDescent="0.2">
      <c r="C469" s="23" t="s">
        <v>1132</v>
      </c>
      <c r="D469" s="23">
        <f>Source!BC125</f>
        <v>6.71</v>
      </c>
      <c r="F469" s="12"/>
      <c r="G469" s="12"/>
      <c r="H469" s="12"/>
    </row>
    <row r="470" spans="1:28" ht="28.5" x14ac:dyDescent="0.2">
      <c r="A470" s="46">
        <v>64</v>
      </c>
      <c r="B470" s="46" t="str">
        <f>Source!E126</f>
        <v>29,9</v>
      </c>
      <c r="C470" s="46" t="str">
        <f>Source!G126</f>
        <v>Уголок внутренний для пластикового плинтуса</v>
      </c>
      <c r="D470" s="46" t="str">
        <f>Source!F126</f>
        <v>11.3.03.14</v>
      </c>
      <c r="E470" s="31" t="str">
        <f>Source!H126</f>
        <v>шт.</v>
      </c>
      <c r="F470" s="12">
        <f>Source!I126</f>
        <v>7</v>
      </c>
      <c r="G470" s="22">
        <f>Source!AB126</f>
        <v>0</v>
      </c>
      <c r="H470" s="22">
        <f>Source!O126</f>
        <v>0</v>
      </c>
      <c r="T470">
        <f>Source!O126+Source!X126+Source!Y126</f>
        <v>0</v>
      </c>
      <c r="U470">
        <f>Source!P126</f>
        <v>0</v>
      </c>
      <c r="V470">
        <f>Source!S126</f>
        <v>0</v>
      </c>
      <c r="W470">
        <f>Source!Q126</f>
        <v>0</v>
      </c>
      <c r="X470">
        <f>Source!R126</f>
        <v>0</v>
      </c>
      <c r="Y470">
        <f>Source!U126</f>
        <v>0</v>
      </c>
      <c r="Z470">
        <f>Source!V126</f>
        <v>0</v>
      </c>
      <c r="AA470">
        <f>Source!X126</f>
        <v>0</v>
      </c>
      <c r="AB470">
        <f>Source!Y126</f>
        <v>0</v>
      </c>
    </row>
    <row r="471" spans="1:28" ht="14.25" x14ac:dyDescent="0.2">
      <c r="C471" s="23" t="s">
        <v>1132</v>
      </c>
      <c r="D471" s="23">
        <f>Source!BC126</f>
        <v>6.71</v>
      </c>
      <c r="F471" s="12"/>
      <c r="G471" s="12"/>
      <c r="H471" s="12"/>
    </row>
    <row r="472" spans="1:28" ht="28.5" x14ac:dyDescent="0.2">
      <c r="A472" s="46">
        <v>65</v>
      </c>
      <c r="B472" s="46" t="str">
        <f>Source!E127</f>
        <v>29,10</v>
      </c>
      <c r="C472" s="46" t="str">
        <f>Source!G127</f>
        <v>Соединитель для пластикового плинтуса</v>
      </c>
      <c r="D472" s="46" t="str">
        <f>Source!F127</f>
        <v>11.3.03.14</v>
      </c>
      <c r="E472" s="31" t="str">
        <f>Source!H127</f>
        <v>шт.</v>
      </c>
      <c r="F472" s="12">
        <f>Source!I127</f>
        <v>43</v>
      </c>
      <c r="G472" s="22">
        <f>Source!AB127</f>
        <v>0</v>
      </c>
      <c r="H472" s="22">
        <f>Source!O127</f>
        <v>0</v>
      </c>
      <c r="T472">
        <f>Source!O127+Source!X127+Source!Y127</f>
        <v>0</v>
      </c>
      <c r="U472">
        <f>Source!P127</f>
        <v>0</v>
      </c>
      <c r="V472">
        <f>Source!S127</f>
        <v>0</v>
      </c>
      <c r="W472">
        <f>Source!Q127</f>
        <v>0</v>
      </c>
      <c r="X472">
        <f>Source!R127</f>
        <v>0</v>
      </c>
      <c r="Y472">
        <f>Source!U127</f>
        <v>0</v>
      </c>
      <c r="Z472">
        <f>Source!V127</f>
        <v>0</v>
      </c>
      <c r="AA472">
        <f>Source!X127</f>
        <v>0</v>
      </c>
      <c r="AB472">
        <f>Source!Y127</f>
        <v>0</v>
      </c>
    </row>
    <row r="473" spans="1:28" ht="14.25" x14ac:dyDescent="0.2">
      <c r="C473" s="23" t="s">
        <v>1132</v>
      </c>
      <c r="D473" s="23">
        <f>Source!BC127</f>
        <v>6.71</v>
      </c>
      <c r="F473" s="12"/>
      <c r="G473" s="12"/>
      <c r="H473" s="12"/>
    </row>
    <row r="474" spans="1:28" ht="28.5" x14ac:dyDescent="0.2">
      <c r="A474" s="46">
        <v>66</v>
      </c>
      <c r="B474" s="46" t="str">
        <f>Source!E128</f>
        <v>29,11</v>
      </c>
      <c r="C474" s="46" t="str">
        <f>Source!G128</f>
        <v>Заглушка торцевая для пластикового плинтуса левая</v>
      </c>
      <c r="D474" s="46" t="str">
        <f>Source!F128</f>
        <v>11.3.03.14</v>
      </c>
      <c r="E474" s="31" t="str">
        <f>Source!H128</f>
        <v>шт.</v>
      </c>
      <c r="F474" s="12">
        <f>Source!I128</f>
        <v>8</v>
      </c>
      <c r="G474" s="22">
        <f>Source!AB128</f>
        <v>0</v>
      </c>
      <c r="H474" s="22">
        <f>Source!O128</f>
        <v>0</v>
      </c>
      <c r="T474">
        <f>Source!O128+Source!X128+Source!Y128</f>
        <v>0</v>
      </c>
      <c r="U474">
        <f>Source!P128</f>
        <v>0</v>
      </c>
      <c r="V474">
        <f>Source!S128</f>
        <v>0</v>
      </c>
      <c r="W474">
        <f>Source!Q128</f>
        <v>0</v>
      </c>
      <c r="X474">
        <f>Source!R128</f>
        <v>0</v>
      </c>
      <c r="Y474">
        <f>Source!U128</f>
        <v>0</v>
      </c>
      <c r="Z474">
        <f>Source!V128</f>
        <v>0</v>
      </c>
      <c r="AA474">
        <f>Source!X128</f>
        <v>0</v>
      </c>
      <c r="AB474">
        <f>Source!Y128</f>
        <v>0</v>
      </c>
    </row>
    <row r="475" spans="1:28" ht="14.25" x14ac:dyDescent="0.2">
      <c r="C475" s="23" t="s">
        <v>1132</v>
      </c>
      <c r="D475" s="23">
        <f>Source!BC128</f>
        <v>6.71</v>
      </c>
      <c r="F475" s="12"/>
      <c r="G475" s="12"/>
      <c r="H475" s="12"/>
    </row>
    <row r="476" spans="1:28" ht="28.5" x14ac:dyDescent="0.2">
      <c r="A476" s="46">
        <v>67</v>
      </c>
      <c r="B476" s="46" t="str">
        <f>Source!E129</f>
        <v>29,12</v>
      </c>
      <c r="C476" s="46" t="str">
        <f>Source!G129</f>
        <v>Заглушка торцевая для пластикового плинтуса правая</v>
      </c>
      <c r="D476" s="46" t="str">
        <f>Source!F129</f>
        <v>11.3.03.14</v>
      </c>
      <c r="E476" s="31" t="str">
        <f>Source!H129</f>
        <v>шт.</v>
      </c>
      <c r="F476" s="12">
        <f>Source!I129</f>
        <v>8</v>
      </c>
      <c r="G476" s="22">
        <f>Source!AB129</f>
        <v>0</v>
      </c>
      <c r="H476" s="22">
        <f>Source!O129</f>
        <v>0</v>
      </c>
      <c r="T476">
        <f>Source!O129+Source!X129+Source!Y129</f>
        <v>0</v>
      </c>
      <c r="U476">
        <f>Source!P129</f>
        <v>0</v>
      </c>
      <c r="V476">
        <f>Source!S129</f>
        <v>0</v>
      </c>
      <c r="W476">
        <f>Source!Q129</f>
        <v>0</v>
      </c>
      <c r="X476">
        <f>Source!R129</f>
        <v>0</v>
      </c>
      <c r="Y476">
        <f>Source!U129</f>
        <v>0</v>
      </c>
      <c r="Z476">
        <f>Source!V129</f>
        <v>0</v>
      </c>
      <c r="AA476">
        <f>Source!X129</f>
        <v>0</v>
      </c>
      <c r="AB476">
        <f>Source!Y129</f>
        <v>0</v>
      </c>
    </row>
    <row r="477" spans="1:28" ht="14.25" x14ac:dyDescent="0.2">
      <c r="C477" s="23" t="s">
        <v>1132</v>
      </c>
      <c r="D477" s="23">
        <f>Source!BC129</f>
        <v>6.71</v>
      </c>
      <c r="F477" s="12"/>
      <c r="G477" s="12"/>
      <c r="H477" s="12"/>
    </row>
    <row r="478" spans="1:28" ht="85.5" x14ac:dyDescent="0.2">
      <c r="A478" s="46">
        <v>68</v>
      </c>
      <c r="B478" s="46" t="str">
        <f>Source!E130</f>
        <v>30</v>
      </c>
      <c r="C478" s="46" t="str">
        <f>Source!G130</f>
        <v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v>
      </c>
      <c r="D478" s="46" t="str">
        <f>Source!F130</f>
        <v>15-01-019-05</v>
      </c>
      <c r="E478" s="31" t="str">
        <f>Source!H130</f>
        <v>100 м2</v>
      </c>
      <c r="F478" s="12">
        <f>Source!I130</f>
        <v>5.3999999999999999E-2</v>
      </c>
      <c r="G478" s="22">
        <f>Source!AB130</f>
        <v>2073.5700000000002</v>
      </c>
      <c r="H478" s="22">
        <f>Source!O130</f>
        <v>751.34</v>
      </c>
      <c r="T478">
        <f>Source!O130+Source!X130+Source!Y130</f>
        <v>1805.64</v>
      </c>
      <c r="U478">
        <f>Source!P130</f>
        <v>1.1499999999999999</v>
      </c>
      <c r="V478">
        <f>Source!S130</f>
        <v>732.93</v>
      </c>
      <c r="W478">
        <f>Source!Q130</f>
        <v>17.260000000000002</v>
      </c>
      <c r="X478">
        <f>Source!R130</f>
        <v>9.5299999999999994</v>
      </c>
      <c r="Y478">
        <f>Source!U130</f>
        <v>11.898608399999997</v>
      </c>
      <c r="Z478">
        <f>Source!V130</f>
        <v>0.13364999999999999</v>
      </c>
      <c r="AA478">
        <f>Source!X130</f>
        <v>705.34</v>
      </c>
      <c r="AB478">
        <f>Source!Y130</f>
        <v>348.96</v>
      </c>
    </row>
    <row r="479" spans="1:28" ht="14.25" x14ac:dyDescent="0.2">
      <c r="C479" s="23" t="str">
        <f>"Объем: "&amp;Source!I130&amp;"=5,4/"&amp;"100"</f>
        <v>Объем: 0,054=5,4/100</v>
      </c>
      <c r="F479" s="12"/>
      <c r="G479" s="12"/>
      <c r="H479" s="12"/>
    </row>
    <row r="480" spans="1:28" x14ac:dyDescent="0.2">
      <c r="C480" s="23" t="s">
        <v>1130</v>
      </c>
      <c r="D480" s="23">
        <f>Source!BA130</f>
        <v>6.71</v>
      </c>
    </row>
    <row r="481" spans="1:28" x14ac:dyDescent="0.2">
      <c r="C481" s="23" t="s">
        <v>1131</v>
      </c>
      <c r="D481" s="23">
        <f>Source!BB130</f>
        <v>6.71</v>
      </c>
    </row>
    <row r="482" spans="1:28" x14ac:dyDescent="0.2">
      <c r="C482" s="23" t="s">
        <v>1132</v>
      </c>
      <c r="D482" s="23">
        <f>Source!BC130</f>
        <v>6.71</v>
      </c>
    </row>
    <row r="483" spans="1:28" x14ac:dyDescent="0.2">
      <c r="C483" s="23" t="s">
        <v>1133</v>
      </c>
      <c r="D483" s="23">
        <f>Source!BS130</f>
        <v>6.71</v>
      </c>
    </row>
    <row r="484" spans="1:28" x14ac:dyDescent="0.2">
      <c r="C484" s="23" t="s">
        <v>1140</v>
      </c>
      <c r="D484" s="88" t="s">
        <v>174</v>
      </c>
      <c r="E484" s="88"/>
      <c r="F484" s="88"/>
      <c r="G484" s="88"/>
      <c r="H484" s="88"/>
    </row>
    <row r="485" spans="1:28" x14ac:dyDescent="0.2">
      <c r="C485" s="23" t="s">
        <v>1141</v>
      </c>
      <c r="D485" s="88" t="s">
        <v>174</v>
      </c>
      <c r="E485" s="88"/>
      <c r="F485" s="88"/>
      <c r="G485" s="88"/>
      <c r="H485" s="88"/>
    </row>
    <row r="486" spans="1:28" x14ac:dyDescent="0.2">
      <c r="C486" s="23" t="s">
        <v>1142</v>
      </c>
      <c r="D486" s="88" t="s">
        <v>175</v>
      </c>
      <c r="E486" s="88"/>
      <c r="F486" s="88"/>
      <c r="G486" s="88"/>
      <c r="H486" s="88"/>
    </row>
    <row r="487" spans="1:28" x14ac:dyDescent="0.2">
      <c r="C487" s="23" t="s">
        <v>1143</v>
      </c>
      <c r="D487" s="88" t="s">
        <v>175</v>
      </c>
      <c r="E487" s="88"/>
      <c r="F487" s="88"/>
      <c r="G487" s="88"/>
      <c r="H487" s="88"/>
    </row>
    <row r="488" spans="1:28" x14ac:dyDescent="0.2">
      <c r="C488" s="23" t="s">
        <v>1144</v>
      </c>
      <c r="D488" s="88" t="s">
        <v>174</v>
      </c>
      <c r="E488" s="88"/>
      <c r="F488" s="88"/>
      <c r="G488" s="88"/>
      <c r="H488" s="88"/>
    </row>
    <row r="489" spans="1:28" x14ac:dyDescent="0.2">
      <c r="C489" s="9" t="s">
        <v>1134</v>
      </c>
      <c r="D489" s="34"/>
      <c r="E489" s="34"/>
      <c r="F489" s="34">
        <f>Source!BZ130</f>
        <v>105</v>
      </c>
      <c r="G489" s="57">
        <f>(Source!AF130+Source!AE130)*Source!FX130/100</f>
        <v>1936.3616999999999</v>
      </c>
      <c r="H489" s="57">
        <f>Source!X130</f>
        <v>705.34</v>
      </c>
    </row>
    <row r="490" spans="1:28" x14ac:dyDescent="0.2">
      <c r="C490" s="9" t="s">
        <v>1135</v>
      </c>
      <c r="D490" s="34"/>
      <c r="E490" s="34"/>
      <c r="F490" s="34"/>
      <c r="G490" s="34" t="str">
        <f>CONCATENATE(Source!DL130,Source!FT130, "=", Source!FX130, "%")</f>
        <v>*0,9=94,5%</v>
      </c>
      <c r="H490" s="34" t="str">
        <f>CONCATENATE(Source!AT130)</f>
        <v>95</v>
      </c>
    </row>
    <row r="491" spans="1:28" x14ac:dyDescent="0.2">
      <c r="C491" s="9" t="s">
        <v>1136</v>
      </c>
      <c r="D491" s="34"/>
      <c r="E491" s="34"/>
      <c r="F491" s="34">
        <f>Source!CA130</f>
        <v>55</v>
      </c>
      <c r="G491" s="57">
        <f>(Source!AF130+Source!AE130)*Source!FY130/100</f>
        <v>957.93554999999992</v>
      </c>
      <c r="H491" s="57">
        <f>Source!Y130</f>
        <v>348.96</v>
      </c>
    </row>
    <row r="492" spans="1:28" x14ac:dyDescent="0.2">
      <c r="C492" s="9" t="s">
        <v>1137</v>
      </c>
      <c r="D492" s="34"/>
      <c r="E492" s="34"/>
      <c r="F492" s="34"/>
      <c r="G492" s="34" t="str">
        <f>CONCATENATE(Source!DM130,Source!FU130, "=", Source!FY130, "%")</f>
        <v>*0,85=46,75%</v>
      </c>
      <c r="H492" s="34" t="str">
        <f>CONCATENATE(Source!AU130)</f>
        <v>47</v>
      </c>
    </row>
    <row r="493" spans="1:28" x14ac:dyDescent="0.2">
      <c r="C493" s="9" t="s">
        <v>1138</v>
      </c>
      <c r="D493" s="34"/>
      <c r="E493" s="34"/>
      <c r="F493" s="34"/>
      <c r="G493" s="57">
        <f>((Source!AF130+Source!AE130)*Source!FX130/100)+((Source!AF130+Source!AE130)*Source!FY130/100)+Source!AB130</f>
        <v>4967.8672499999993</v>
      </c>
      <c r="H493" s="57">
        <f>Source!O130+Source!X130+Source!Y130</f>
        <v>1805.64</v>
      </c>
    </row>
    <row r="494" spans="1:28" ht="14.25" x14ac:dyDescent="0.2">
      <c r="A494" s="46">
        <v>69</v>
      </c>
      <c r="B494" s="46" t="str">
        <f>Source!E131</f>
        <v>30,1</v>
      </c>
      <c r="C494" s="46" t="str">
        <f>Source!G131</f>
        <v>Смесь сухая для заделки швов</v>
      </c>
      <c r="D494" s="46" t="str">
        <f>Source!F131</f>
        <v>04.3.02.09</v>
      </c>
      <c r="E494" s="31" t="str">
        <f>Source!H131</f>
        <v>т</v>
      </c>
      <c r="F494" s="12">
        <f>Source!I131</f>
        <v>2.7000000000000001E-3</v>
      </c>
      <c r="G494" s="22">
        <f>Source!AB131</f>
        <v>0</v>
      </c>
      <c r="H494" s="22">
        <f>Source!O131</f>
        <v>0</v>
      </c>
      <c r="T494">
        <f>Source!O131+Source!X131+Source!Y131</f>
        <v>0</v>
      </c>
      <c r="U494">
        <f>Source!P131</f>
        <v>0</v>
      </c>
      <c r="V494">
        <f>Source!S131</f>
        <v>0</v>
      </c>
      <c r="W494">
        <f>Source!Q131</f>
        <v>0</v>
      </c>
      <c r="X494">
        <f>Source!R131</f>
        <v>0</v>
      </c>
      <c r="Y494">
        <f>Source!U131</f>
        <v>0</v>
      </c>
      <c r="Z494">
        <f>Source!V131</f>
        <v>0</v>
      </c>
      <c r="AA494">
        <f>Source!X131</f>
        <v>0</v>
      </c>
      <c r="AB494">
        <f>Source!Y131</f>
        <v>0</v>
      </c>
    </row>
    <row r="495" spans="1:28" ht="14.25" x14ac:dyDescent="0.2">
      <c r="C495" s="23" t="s">
        <v>1132</v>
      </c>
      <c r="D495" s="23">
        <f>Source!BC131</f>
        <v>6.71</v>
      </c>
      <c r="F495" s="12"/>
      <c r="G495" s="12"/>
      <c r="H495" s="12"/>
    </row>
    <row r="496" spans="1:28" ht="14.25" x14ac:dyDescent="0.2">
      <c r="A496" s="46">
        <v>70</v>
      </c>
      <c r="B496" s="46" t="str">
        <f>Source!E132</f>
        <v>30,2</v>
      </c>
      <c r="C496" s="46" t="str">
        <f>Source!G132</f>
        <v>Плитки рядовые</v>
      </c>
      <c r="D496" s="46" t="str">
        <f>Source!F132</f>
        <v>06.2.05.04</v>
      </c>
      <c r="E496" s="31" t="str">
        <f>Source!H132</f>
        <v>м2</v>
      </c>
      <c r="F496" s="12">
        <f>Source!I132</f>
        <v>5.4</v>
      </c>
      <c r="G496" s="22">
        <f>Source!AB132</f>
        <v>0</v>
      </c>
      <c r="H496" s="22">
        <f>Source!O132</f>
        <v>0</v>
      </c>
      <c r="T496">
        <f>Source!O132+Source!X132+Source!Y132</f>
        <v>0</v>
      </c>
      <c r="U496">
        <f>Source!P132</f>
        <v>0</v>
      </c>
      <c r="V496">
        <f>Source!S132</f>
        <v>0</v>
      </c>
      <c r="W496">
        <f>Source!Q132</f>
        <v>0</v>
      </c>
      <c r="X496">
        <f>Source!R132</f>
        <v>0</v>
      </c>
      <c r="Y496">
        <f>Source!U132</f>
        <v>0</v>
      </c>
      <c r="Z496">
        <f>Source!V132</f>
        <v>0</v>
      </c>
      <c r="AA496">
        <f>Source!X132</f>
        <v>0</v>
      </c>
      <c r="AB496">
        <f>Source!Y132</f>
        <v>0</v>
      </c>
    </row>
    <row r="497" spans="1:28" ht="14.25" x14ac:dyDescent="0.2">
      <c r="C497" s="23" t="s">
        <v>1132</v>
      </c>
      <c r="D497" s="23">
        <f>Source!BC132</f>
        <v>6.71</v>
      </c>
      <c r="F497" s="12"/>
      <c r="G497" s="12"/>
      <c r="H497" s="12"/>
    </row>
    <row r="498" spans="1:28" ht="57" x14ac:dyDescent="0.2">
      <c r="A498" s="46">
        <v>71</v>
      </c>
      <c r="B498" s="46" t="str">
        <f>Source!E133</f>
        <v>30,3</v>
      </c>
      <c r="C498" s="46" t="str">
        <f>Source!G133</f>
        <v>Плитки керамические глазурованные для внутренней облицовки стен гладкие цветные с рисунком многоцветные без завала ((прим.)</v>
      </c>
      <c r="D498" s="46" t="str">
        <f>Source!F133</f>
        <v>06.2.01.02-0016</v>
      </c>
      <c r="E498" s="31" t="str">
        <f>Source!H133</f>
        <v>м2</v>
      </c>
      <c r="F498" s="12">
        <f>Source!I133</f>
        <v>5.4</v>
      </c>
      <c r="G498" s="22">
        <f>Source!AB133</f>
        <v>136.62</v>
      </c>
      <c r="H498" s="22">
        <f>Source!O133</f>
        <v>4950.29</v>
      </c>
      <c r="T498">
        <f>Source!O133+Source!X133+Source!Y133</f>
        <v>4950.29</v>
      </c>
      <c r="U498">
        <f>Source!P133</f>
        <v>4950.29</v>
      </c>
      <c r="V498">
        <f>Source!S133</f>
        <v>0</v>
      </c>
      <c r="W498">
        <f>Source!Q133</f>
        <v>0</v>
      </c>
      <c r="X498">
        <f>Source!R133</f>
        <v>0</v>
      </c>
      <c r="Y498">
        <f>Source!U133</f>
        <v>0</v>
      </c>
      <c r="Z498">
        <f>Source!V133</f>
        <v>0</v>
      </c>
      <c r="AA498">
        <f>Source!X133</f>
        <v>0</v>
      </c>
      <c r="AB498">
        <f>Source!Y133</f>
        <v>0</v>
      </c>
    </row>
    <row r="499" spans="1:28" ht="14.25" x14ac:dyDescent="0.2">
      <c r="C499" s="23" t="s">
        <v>1132</v>
      </c>
      <c r="D499" s="23">
        <f>Source!BC133</f>
        <v>6.71</v>
      </c>
      <c r="F499" s="12"/>
      <c r="G499" s="12"/>
      <c r="H499" s="12"/>
    </row>
    <row r="500" spans="1:28" ht="28.5" x14ac:dyDescent="0.2">
      <c r="A500" s="46">
        <v>72</v>
      </c>
      <c r="B500" s="46" t="str">
        <f>Source!E134</f>
        <v>30,4</v>
      </c>
      <c r="C500" s="46" t="str">
        <f>Source!G134</f>
        <v>Клей для облицовочных работ (сухая смесь)</v>
      </c>
      <c r="D500" s="46" t="str">
        <f>Source!F134</f>
        <v>14.1.06.02</v>
      </c>
      <c r="E500" s="31" t="str">
        <f>Source!H134</f>
        <v>т</v>
      </c>
      <c r="F500" s="12">
        <f>Source!I134</f>
        <v>2.0250000000000001E-2</v>
      </c>
      <c r="G500" s="22">
        <f>Source!AB134</f>
        <v>0</v>
      </c>
      <c r="H500" s="22">
        <f>Source!O134</f>
        <v>0</v>
      </c>
      <c r="T500">
        <f>Source!O134+Source!X134+Source!Y134</f>
        <v>0</v>
      </c>
      <c r="U500">
        <f>Source!P134</f>
        <v>0</v>
      </c>
      <c r="V500">
        <f>Source!S134</f>
        <v>0</v>
      </c>
      <c r="W500">
        <f>Source!Q134</f>
        <v>0</v>
      </c>
      <c r="X500">
        <f>Source!R134</f>
        <v>0</v>
      </c>
      <c r="Y500">
        <f>Source!U134</f>
        <v>0</v>
      </c>
      <c r="Z500">
        <f>Source!V134</f>
        <v>0</v>
      </c>
      <c r="AA500">
        <f>Source!X134</f>
        <v>0</v>
      </c>
      <c r="AB500">
        <f>Source!Y134</f>
        <v>0</v>
      </c>
    </row>
    <row r="501" spans="1:28" ht="14.25" x14ac:dyDescent="0.2">
      <c r="C501" s="23" t="s">
        <v>1132</v>
      </c>
      <c r="D501" s="23">
        <f>Source!BC134</f>
        <v>6.71</v>
      </c>
      <c r="F501" s="12"/>
      <c r="G501" s="12"/>
      <c r="H501" s="12"/>
    </row>
    <row r="502" spans="1:28" ht="42.75" x14ac:dyDescent="0.2">
      <c r="A502" s="46">
        <v>73</v>
      </c>
      <c r="B502" s="46" t="str">
        <f>Source!E135</f>
        <v>30,5</v>
      </c>
      <c r="C502" s="46" t="str">
        <f>Source!G135</f>
        <v>Клей для плитки Ветонит "Быстросхватывающийся клей для ремонтных работ"</v>
      </c>
      <c r="D502" s="46" t="str">
        <f>Source!F135</f>
        <v>14.1.06.02-0008</v>
      </c>
      <c r="E502" s="31" t="str">
        <f>Source!H135</f>
        <v>т</v>
      </c>
      <c r="F502" s="12">
        <f>Source!I135</f>
        <v>2.0250000000000001E-2</v>
      </c>
      <c r="G502" s="22">
        <f>Source!AB135</f>
        <v>7340.57</v>
      </c>
      <c r="H502" s="22">
        <f>Source!O135</f>
        <v>997.42</v>
      </c>
      <c r="T502">
        <f>Source!O135+Source!X135+Source!Y135</f>
        <v>997.42</v>
      </c>
      <c r="U502">
        <f>Source!P135</f>
        <v>997.42</v>
      </c>
      <c r="V502">
        <f>Source!S135</f>
        <v>0</v>
      </c>
      <c r="W502">
        <f>Source!Q135</f>
        <v>0</v>
      </c>
      <c r="X502">
        <f>Source!R135</f>
        <v>0</v>
      </c>
      <c r="Y502">
        <f>Source!U135</f>
        <v>0</v>
      </c>
      <c r="Z502">
        <f>Source!V135</f>
        <v>0</v>
      </c>
      <c r="AA502">
        <f>Source!X135</f>
        <v>0</v>
      </c>
      <c r="AB502">
        <f>Source!Y135</f>
        <v>0</v>
      </c>
    </row>
    <row r="503" spans="1:28" ht="14.25" x14ac:dyDescent="0.2">
      <c r="C503" s="23" t="s">
        <v>1132</v>
      </c>
      <c r="D503" s="23">
        <f>Source!BC135</f>
        <v>6.71</v>
      </c>
      <c r="F503" s="12"/>
      <c r="G503" s="12"/>
      <c r="H503" s="12"/>
    </row>
    <row r="504" spans="1:28" ht="85.5" x14ac:dyDescent="0.2">
      <c r="A504" s="46">
        <v>74</v>
      </c>
      <c r="B504" s="46" t="str">
        <f>Source!E136</f>
        <v>31</v>
      </c>
      <c r="C504" s="46" t="str">
        <f>Source!G136</f>
        <v>Устройство перегородок из гипсокартонных листов (ГКЛ) по системе «КНАУФ» с одинарным металлическим каркасом и двухслойной обшивкой с обеих сторон (С 112) глухих (короб)</v>
      </c>
      <c r="D504" s="46" t="str">
        <f>Source!F136</f>
        <v>10-05-002-01 прим.</v>
      </c>
      <c r="E504" s="31" t="str">
        <f>Source!H136</f>
        <v>100 м2</v>
      </c>
      <c r="F504" s="12">
        <f>Source!I136</f>
        <v>0.06</v>
      </c>
      <c r="G504" s="22">
        <f>Source!AB136</f>
        <v>2956.73</v>
      </c>
      <c r="H504" s="22">
        <f>Source!O136</f>
        <v>1190.3800000000001</v>
      </c>
      <c r="T504">
        <f>Source!O136+Source!X136+Source!Y136</f>
        <v>2254.65</v>
      </c>
      <c r="U504">
        <f>Source!P136</f>
        <v>523.17999999999995</v>
      </c>
      <c r="V504">
        <f>Source!S136</f>
        <v>665.17</v>
      </c>
      <c r="W504">
        <f>Source!Q136</f>
        <v>2.0299999999999998</v>
      </c>
      <c r="X504">
        <f>Source!R136</f>
        <v>0</v>
      </c>
      <c r="Y504">
        <f>Source!U136</f>
        <v>10.929599999999997</v>
      </c>
      <c r="Z504">
        <f>Source!V136</f>
        <v>0</v>
      </c>
      <c r="AA504">
        <f>Source!X136</f>
        <v>705.08</v>
      </c>
      <c r="AB504">
        <f>Source!Y136</f>
        <v>359.19</v>
      </c>
    </row>
    <row r="505" spans="1:28" ht="14.25" x14ac:dyDescent="0.2">
      <c r="C505" s="23" t="str">
        <f>"Объем: "&amp;Source!I136&amp;"=6/"&amp;"100"</f>
        <v>Объем: 0,06=6/100</v>
      </c>
      <c r="F505" s="12"/>
      <c r="G505" s="12"/>
      <c r="H505" s="12"/>
    </row>
    <row r="506" spans="1:28" x14ac:dyDescent="0.2">
      <c r="C506" s="23" t="s">
        <v>1130</v>
      </c>
      <c r="D506" s="23">
        <f>Source!BA136</f>
        <v>6.71</v>
      </c>
    </row>
    <row r="507" spans="1:28" x14ac:dyDescent="0.2">
      <c r="C507" s="23" t="s">
        <v>1131</v>
      </c>
      <c r="D507" s="23">
        <f>Source!BB136</f>
        <v>6.71</v>
      </c>
    </row>
    <row r="508" spans="1:28" x14ac:dyDescent="0.2">
      <c r="C508" s="23" t="s">
        <v>1132</v>
      </c>
      <c r="D508" s="23">
        <f>Source!BC136</f>
        <v>6.71</v>
      </c>
    </row>
    <row r="509" spans="1:28" x14ac:dyDescent="0.2">
      <c r="C509" s="23" t="s">
        <v>1133</v>
      </c>
      <c r="D509" s="23">
        <f>Source!BS136</f>
        <v>6.71</v>
      </c>
    </row>
    <row r="510" spans="1:28" x14ac:dyDescent="0.2">
      <c r="C510" s="23" t="s">
        <v>1140</v>
      </c>
      <c r="D510" s="88" t="s">
        <v>174</v>
      </c>
      <c r="E510" s="88"/>
      <c r="F510" s="88"/>
      <c r="G510" s="88"/>
      <c r="H510" s="88"/>
    </row>
    <row r="511" spans="1:28" x14ac:dyDescent="0.2">
      <c r="C511" s="23" t="s">
        <v>1141</v>
      </c>
      <c r="D511" s="88" t="s">
        <v>174</v>
      </c>
      <c r="E511" s="88"/>
      <c r="F511" s="88"/>
      <c r="G511" s="88"/>
      <c r="H511" s="88"/>
    </row>
    <row r="512" spans="1:28" x14ac:dyDescent="0.2">
      <c r="C512" s="23" t="s">
        <v>1142</v>
      </c>
      <c r="D512" s="88" t="s">
        <v>175</v>
      </c>
      <c r="E512" s="88"/>
      <c r="F512" s="88"/>
      <c r="G512" s="88"/>
      <c r="H512" s="88"/>
    </row>
    <row r="513" spans="1:28" x14ac:dyDescent="0.2">
      <c r="C513" s="23" t="s">
        <v>1143</v>
      </c>
      <c r="D513" s="88" t="s">
        <v>175</v>
      </c>
      <c r="E513" s="88"/>
      <c r="F513" s="88"/>
      <c r="G513" s="88"/>
      <c r="H513" s="88"/>
    </row>
    <row r="514" spans="1:28" x14ac:dyDescent="0.2">
      <c r="C514" s="23" t="s">
        <v>1144</v>
      </c>
      <c r="D514" s="88" t="s">
        <v>174</v>
      </c>
      <c r="E514" s="88"/>
      <c r="F514" s="88"/>
      <c r="G514" s="88"/>
      <c r="H514" s="88"/>
    </row>
    <row r="515" spans="1:28" x14ac:dyDescent="0.2">
      <c r="C515" s="9" t="s">
        <v>1134</v>
      </c>
      <c r="D515" s="34"/>
      <c r="E515" s="34"/>
      <c r="F515" s="34">
        <f>Source!BZ136</f>
        <v>118</v>
      </c>
      <c r="G515" s="57">
        <f>(Source!AF136+Source!AE136)*Source!FX136/100</f>
        <v>1754.6257800000001</v>
      </c>
      <c r="H515" s="57">
        <f>Source!X136</f>
        <v>705.08</v>
      </c>
    </row>
    <row r="516" spans="1:28" x14ac:dyDescent="0.2">
      <c r="C516" s="9" t="s">
        <v>1135</v>
      </c>
      <c r="D516" s="34"/>
      <c r="E516" s="34"/>
      <c r="F516" s="34"/>
      <c r="G516" s="34" t="str">
        <f>CONCATENATE(Source!DL136,Source!FT136, "=", Source!FX136, "%")</f>
        <v>*0,9=106,2%</v>
      </c>
      <c r="H516" s="34" t="str">
        <f>CONCATENATE(Source!AT136)</f>
        <v>106</v>
      </c>
    </row>
    <row r="517" spans="1:28" x14ac:dyDescent="0.2">
      <c r="C517" s="9" t="s">
        <v>1136</v>
      </c>
      <c r="D517" s="34"/>
      <c r="E517" s="34"/>
      <c r="F517" s="34">
        <f>Source!CA136</f>
        <v>63</v>
      </c>
      <c r="G517" s="57">
        <f>(Source!AF136+Source!AE136)*Source!FY136/100</f>
        <v>884.74774500000001</v>
      </c>
      <c r="H517" s="57">
        <f>Source!Y136</f>
        <v>359.19</v>
      </c>
    </row>
    <row r="518" spans="1:28" x14ac:dyDescent="0.2">
      <c r="C518" s="9" t="s">
        <v>1137</v>
      </c>
      <c r="D518" s="34"/>
      <c r="E518" s="34"/>
      <c r="F518" s="34"/>
      <c r="G518" s="34" t="str">
        <f>CONCATENATE(Source!DM136,Source!FU136, "=", Source!FY136, "%")</f>
        <v>*0,85=53,55%</v>
      </c>
      <c r="H518" s="34" t="str">
        <f>CONCATENATE(Source!AU136)</f>
        <v>54</v>
      </c>
    </row>
    <row r="519" spans="1:28" x14ac:dyDescent="0.2">
      <c r="C519" s="9" t="s">
        <v>1138</v>
      </c>
      <c r="D519" s="34"/>
      <c r="E519" s="34"/>
      <c r="F519" s="34"/>
      <c r="G519" s="57">
        <f>((Source!AF136+Source!AE136)*Source!FX136/100)+((Source!AF136+Source!AE136)*Source!FY136/100)+Source!AB136</f>
        <v>5596.1035250000004</v>
      </c>
      <c r="H519" s="57">
        <f>Source!O136+Source!X136+Source!Y136</f>
        <v>2254.65</v>
      </c>
    </row>
    <row r="520" spans="1:28" ht="14.25" x14ac:dyDescent="0.2">
      <c r="A520" s="46">
        <v>75</v>
      </c>
      <c r="B520" s="46" t="str">
        <f>Source!E137</f>
        <v>31,1</v>
      </c>
      <c r="C520" s="46" t="str">
        <f>Source!G137</f>
        <v>Листы гипсокартонные</v>
      </c>
      <c r="D520" s="46" t="str">
        <f>Source!F137</f>
        <v>01.6.01.02</v>
      </c>
      <c r="E520" s="31" t="str">
        <f>Source!H137</f>
        <v>м2</v>
      </c>
      <c r="F520" s="12">
        <f>Source!I137</f>
        <v>25.26</v>
      </c>
      <c r="G520" s="22">
        <f>Source!AB137</f>
        <v>0</v>
      </c>
      <c r="H520" s="22">
        <f>Source!O137</f>
        <v>0</v>
      </c>
      <c r="T520">
        <f>Source!O137+Source!X137+Source!Y137</f>
        <v>0</v>
      </c>
      <c r="U520">
        <f>Source!P137</f>
        <v>0</v>
      </c>
      <c r="V520">
        <f>Source!S137</f>
        <v>0</v>
      </c>
      <c r="W520">
        <f>Source!Q137</f>
        <v>0</v>
      </c>
      <c r="X520">
        <f>Source!R137</f>
        <v>0</v>
      </c>
      <c r="Y520">
        <f>Source!U137</f>
        <v>0</v>
      </c>
      <c r="Z520">
        <f>Source!V137</f>
        <v>0</v>
      </c>
      <c r="AA520">
        <f>Source!X137</f>
        <v>0</v>
      </c>
      <c r="AB520">
        <f>Source!Y137</f>
        <v>0</v>
      </c>
    </row>
    <row r="521" spans="1:28" ht="14.25" x14ac:dyDescent="0.2">
      <c r="C521" s="23" t="s">
        <v>1132</v>
      </c>
      <c r="D521" s="23">
        <f>Source!BC137</f>
        <v>6.71</v>
      </c>
      <c r="F521" s="12"/>
      <c r="G521" s="12"/>
      <c r="H521" s="12"/>
    </row>
    <row r="522" spans="1:28" ht="28.5" x14ac:dyDescent="0.2">
      <c r="A522" s="46">
        <v>76</v>
      </c>
      <c r="B522" s="46" t="str">
        <f>Source!E138</f>
        <v>31,2</v>
      </c>
      <c r="C522" s="46" t="str">
        <f>Source!G138</f>
        <v>Листы гипсокартонные ГКЛВ 12,5 мм</v>
      </c>
      <c r="D522" s="46" t="str">
        <f>Source!F138</f>
        <v>01.6.01.02-0008</v>
      </c>
      <c r="E522" s="31" t="str">
        <f>Source!H138</f>
        <v>м2</v>
      </c>
      <c r="F522" s="12">
        <f>Source!I138</f>
        <v>25.26</v>
      </c>
      <c r="G522" s="22">
        <f>Source!AB138</f>
        <v>20.47</v>
      </c>
      <c r="H522" s="22">
        <f>Source!O138</f>
        <v>3469.55</v>
      </c>
      <c r="T522">
        <f>Source!O138+Source!X138+Source!Y138</f>
        <v>3469.55</v>
      </c>
      <c r="U522">
        <f>Source!P138</f>
        <v>3469.55</v>
      </c>
      <c r="V522">
        <f>Source!S138</f>
        <v>0</v>
      </c>
      <c r="W522">
        <f>Source!Q138</f>
        <v>0</v>
      </c>
      <c r="X522">
        <f>Source!R138</f>
        <v>0</v>
      </c>
      <c r="Y522">
        <f>Source!U138</f>
        <v>0</v>
      </c>
      <c r="Z522">
        <f>Source!V138</f>
        <v>0</v>
      </c>
      <c r="AA522">
        <f>Source!X138</f>
        <v>0</v>
      </c>
      <c r="AB522">
        <f>Source!Y138</f>
        <v>0</v>
      </c>
    </row>
    <row r="523" spans="1:28" ht="14.25" x14ac:dyDescent="0.2">
      <c r="C523" s="23" t="s">
        <v>1132</v>
      </c>
      <c r="D523" s="23">
        <f>Source!BC138</f>
        <v>6.71</v>
      </c>
      <c r="F523" s="12"/>
      <c r="G523" s="12"/>
      <c r="H523" s="12"/>
    </row>
    <row r="524" spans="1:28" ht="42.75" x14ac:dyDescent="0.2">
      <c r="A524" s="46">
        <v>77</v>
      </c>
      <c r="B524" s="46" t="str">
        <f>Source!E139</f>
        <v>31,3</v>
      </c>
      <c r="C524" s="46" t="str">
        <f>Source!G139</f>
        <v>Лента эластичная самоклеящаяся для профилей направляющих «Дихтунгсбанд» 50/30000 мм</v>
      </c>
      <c r="D524" s="46" t="str">
        <f>Source!F139</f>
        <v>01.7.06.01-0042</v>
      </c>
      <c r="E524" s="31" t="str">
        <f>Source!H139</f>
        <v>м</v>
      </c>
      <c r="F524" s="12">
        <f>Source!I139</f>
        <v>7.56</v>
      </c>
      <c r="G524" s="22">
        <f>Source!AB139</f>
        <v>0.6</v>
      </c>
      <c r="H524" s="22">
        <f>Source!O139</f>
        <v>30.44</v>
      </c>
      <c r="T524">
        <f>Source!O139+Source!X139+Source!Y139</f>
        <v>30.44</v>
      </c>
      <c r="U524">
        <f>Source!P139</f>
        <v>30.44</v>
      </c>
      <c r="V524">
        <f>Source!S139</f>
        <v>0</v>
      </c>
      <c r="W524">
        <f>Source!Q139</f>
        <v>0</v>
      </c>
      <c r="X524">
        <f>Source!R139</f>
        <v>0</v>
      </c>
      <c r="Y524">
        <f>Source!U139</f>
        <v>0</v>
      </c>
      <c r="Z524">
        <f>Source!V139</f>
        <v>0</v>
      </c>
      <c r="AA524">
        <f>Source!X139</f>
        <v>0</v>
      </c>
      <c r="AB524">
        <f>Source!Y139</f>
        <v>0</v>
      </c>
    </row>
    <row r="525" spans="1:28" ht="14.25" x14ac:dyDescent="0.2">
      <c r="C525" s="23" t="s">
        <v>1132</v>
      </c>
      <c r="D525" s="23">
        <f>Source!BC139</f>
        <v>6.71</v>
      </c>
      <c r="F525" s="12"/>
      <c r="G525" s="12"/>
      <c r="H525" s="12"/>
    </row>
    <row r="526" spans="1:28" ht="28.5" x14ac:dyDescent="0.2">
      <c r="A526" s="46">
        <v>78</v>
      </c>
      <c r="B526" s="46" t="str">
        <f>Source!E140</f>
        <v>31,4</v>
      </c>
      <c r="C526" s="46" t="str">
        <f>Source!G140</f>
        <v>Лента уплотнительная типа Дихтунгсбанд</v>
      </c>
      <c r="D526" s="46" t="str">
        <f>Source!F140</f>
        <v>01.7.06.11</v>
      </c>
      <c r="E526" s="31" t="str">
        <f>Source!H140</f>
        <v>м</v>
      </c>
      <c r="F526" s="12">
        <f>Source!I140</f>
        <v>7.56</v>
      </c>
      <c r="G526" s="22">
        <f>Source!AB140</f>
        <v>0</v>
      </c>
      <c r="H526" s="22">
        <f>Source!O140</f>
        <v>0</v>
      </c>
      <c r="T526">
        <f>Source!O140+Source!X140+Source!Y140</f>
        <v>0</v>
      </c>
      <c r="U526">
        <f>Source!P140</f>
        <v>0</v>
      </c>
      <c r="V526">
        <f>Source!S140</f>
        <v>0</v>
      </c>
      <c r="W526">
        <f>Source!Q140</f>
        <v>0</v>
      </c>
      <c r="X526">
        <f>Source!R140</f>
        <v>0</v>
      </c>
      <c r="Y526">
        <f>Source!U140</f>
        <v>0</v>
      </c>
      <c r="Z526">
        <f>Source!V140</f>
        <v>0</v>
      </c>
      <c r="AA526">
        <f>Source!X140</f>
        <v>0</v>
      </c>
      <c r="AB526">
        <f>Source!Y140</f>
        <v>0</v>
      </c>
    </row>
    <row r="527" spans="1:28" ht="14.25" x14ac:dyDescent="0.2">
      <c r="C527" s="23" t="s">
        <v>1132</v>
      </c>
      <c r="D527" s="23">
        <f>Source!BC140</f>
        <v>6.71</v>
      </c>
      <c r="F527" s="12"/>
      <c r="G527" s="12"/>
      <c r="H527" s="12"/>
    </row>
    <row r="528" spans="1:28" ht="14.25" x14ac:dyDescent="0.2">
      <c r="A528" s="46">
        <v>79</v>
      </c>
      <c r="B528" s="46" t="str">
        <f>Source!E141</f>
        <v>31,5</v>
      </c>
      <c r="C528" s="46" t="str">
        <f>Source!G141</f>
        <v>Профиль направляющий</v>
      </c>
      <c r="D528" s="46" t="str">
        <f>Source!F141</f>
        <v>07.2.06.03</v>
      </c>
      <c r="E528" s="31" t="str">
        <f>Source!H141</f>
        <v>м</v>
      </c>
      <c r="F528" s="12">
        <f>Source!I141</f>
        <v>4.5599999999999996</v>
      </c>
      <c r="G528" s="22">
        <f>Source!AB141</f>
        <v>0</v>
      </c>
      <c r="H528" s="22">
        <f>Source!O141</f>
        <v>0</v>
      </c>
      <c r="T528">
        <f>Source!O141+Source!X141+Source!Y141</f>
        <v>0</v>
      </c>
      <c r="U528">
        <f>Source!P141</f>
        <v>0</v>
      </c>
      <c r="V528">
        <f>Source!S141</f>
        <v>0</v>
      </c>
      <c r="W528">
        <f>Source!Q141</f>
        <v>0</v>
      </c>
      <c r="X528">
        <f>Source!R141</f>
        <v>0</v>
      </c>
      <c r="Y528">
        <f>Source!U141</f>
        <v>0</v>
      </c>
      <c r="Z528">
        <f>Source!V141</f>
        <v>0</v>
      </c>
      <c r="AA528">
        <f>Source!X141</f>
        <v>0</v>
      </c>
      <c r="AB528">
        <f>Source!Y141</f>
        <v>0</v>
      </c>
    </row>
    <row r="529" spans="1:28" ht="14.25" x14ac:dyDescent="0.2">
      <c r="C529" s="23" t="s">
        <v>1132</v>
      </c>
      <c r="D529" s="23">
        <f>Source!BC141</f>
        <v>6.71</v>
      </c>
      <c r="F529" s="12"/>
      <c r="G529" s="12"/>
      <c r="H529" s="12"/>
    </row>
    <row r="530" spans="1:28" ht="28.5" x14ac:dyDescent="0.2">
      <c r="A530" s="46">
        <v>80</v>
      </c>
      <c r="B530" s="46" t="str">
        <f>Source!E142</f>
        <v>31,6</v>
      </c>
      <c r="C530" s="46" t="str">
        <f>Source!G142</f>
        <v>Профиль направляющий ПН-2 50</v>
      </c>
      <c r="D530" s="46" t="str">
        <f>Source!F142</f>
        <v>07.2.06.03-0112</v>
      </c>
      <c r="E530" s="31" t="str">
        <f>Source!H142</f>
        <v>м</v>
      </c>
      <c r="F530" s="12">
        <f>Source!I142</f>
        <v>4.5599999999999996</v>
      </c>
      <c r="G530" s="22">
        <f>Source!AB142</f>
        <v>6.16</v>
      </c>
      <c r="H530" s="22">
        <f>Source!O142</f>
        <v>188.48</v>
      </c>
      <c r="T530">
        <f>Source!O142+Source!X142+Source!Y142</f>
        <v>188.48</v>
      </c>
      <c r="U530">
        <f>Source!P142</f>
        <v>188.48</v>
      </c>
      <c r="V530">
        <f>Source!S142</f>
        <v>0</v>
      </c>
      <c r="W530">
        <f>Source!Q142</f>
        <v>0</v>
      </c>
      <c r="X530">
        <f>Source!R142</f>
        <v>0</v>
      </c>
      <c r="Y530">
        <f>Source!U142</f>
        <v>0</v>
      </c>
      <c r="Z530">
        <f>Source!V142</f>
        <v>0</v>
      </c>
      <c r="AA530">
        <f>Source!X142</f>
        <v>0</v>
      </c>
      <c r="AB530">
        <f>Source!Y142</f>
        <v>0</v>
      </c>
    </row>
    <row r="531" spans="1:28" ht="14.25" x14ac:dyDescent="0.2">
      <c r="C531" s="23" t="s">
        <v>1132</v>
      </c>
      <c r="D531" s="23">
        <f>Source!BC142</f>
        <v>6.71</v>
      </c>
      <c r="F531" s="12"/>
      <c r="G531" s="12"/>
      <c r="H531" s="12"/>
    </row>
    <row r="532" spans="1:28" ht="28.5" x14ac:dyDescent="0.2">
      <c r="A532" s="46">
        <v>81</v>
      </c>
      <c r="B532" s="46" t="str">
        <f>Source!E143</f>
        <v>31,7</v>
      </c>
      <c r="C532" s="46" t="str">
        <f>Source!G143</f>
        <v>Профиль стоечный ПС-3 65</v>
      </c>
      <c r="D532" s="46" t="str">
        <f>Source!F143</f>
        <v>07.2.06.03-0196</v>
      </c>
      <c r="E532" s="31" t="str">
        <f>Source!H143</f>
        <v>м</v>
      </c>
      <c r="F532" s="12">
        <f>Source!I143</f>
        <v>12.24</v>
      </c>
      <c r="G532" s="22">
        <f>Source!AB143</f>
        <v>5.03</v>
      </c>
      <c r="H532" s="22">
        <f>Source!O143</f>
        <v>413.12</v>
      </c>
      <c r="T532">
        <f>Source!O143+Source!X143+Source!Y143</f>
        <v>413.12</v>
      </c>
      <c r="U532">
        <f>Source!P143</f>
        <v>413.12</v>
      </c>
      <c r="V532">
        <f>Source!S143</f>
        <v>0</v>
      </c>
      <c r="W532">
        <f>Source!Q143</f>
        <v>0</v>
      </c>
      <c r="X532">
        <f>Source!R143</f>
        <v>0</v>
      </c>
      <c r="Y532">
        <f>Source!U143</f>
        <v>0</v>
      </c>
      <c r="Z532">
        <f>Source!V143</f>
        <v>0</v>
      </c>
      <c r="AA532">
        <f>Source!X143</f>
        <v>0</v>
      </c>
      <c r="AB532">
        <f>Source!Y143</f>
        <v>0</v>
      </c>
    </row>
    <row r="533" spans="1:28" ht="14.25" x14ac:dyDescent="0.2">
      <c r="C533" s="23" t="s">
        <v>1132</v>
      </c>
      <c r="D533" s="23">
        <f>Source!BC143</f>
        <v>6.71</v>
      </c>
      <c r="F533" s="12"/>
      <c r="G533" s="12"/>
      <c r="H533" s="12"/>
    </row>
    <row r="534" spans="1:28" ht="14.25" x14ac:dyDescent="0.2">
      <c r="A534" s="46">
        <v>82</v>
      </c>
      <c r="B534" s="46" t="str">
        <f>Source!E144</f>
        <v>31,8</v>
      </c>
      <c r="C534" s="46" t="str">
        <f>Source!G144</f>
        <v>Профиль стоечный</v>
      </c>
      <c r="D534" s="46" t="str">
        <f>Source!F144</f>
        <v>07.2.06.03</v>
      </c>
      <c r="E534" s="31" t="str">
        <f>Source!H144</f>
        <v>м</v>
      </c>
      <c r="F534" s="12">
        <f>Source!I144</f>
        <v>12.24</v>
      </c>
      <c r="G534" s="22">
        <f>Source!AB144</f>
        <v>0</v>
      </c>
      <c r="H534" s="22">
        <f>Source!O144</f>
        <v>0</v>
      </c>
      <c r="T534">
        <f>Source!O144+Source!X144+Source!Y144</f>
        <v>0</v>
      </c>
      <c r="U534">
        <f>Source!P144</f>
        <v>0</v>
      </c>
      <c r="V534">
        <f>Source!S144</f>
        <v>0</v>
      </c>
      <c r="W534">
        <f>Source!Q144</f>
        <v>0</v>
      </c>
      <c r="X534">
        <f>Source!R144</f>
        <v>0</v>
      </c>
      <c r="Y534">
        <f>Source!U144</f>
        <v>0</v>
      </c>
      <c r="Z534">
        <f>Source!V144</f>
        <v>0</v>
      </c>
      <c r="AA534">
        <f>Source!X144</f>
        <v>0</v>
      </c>
      <c r="AB534">
        <f>Source!Y144</f>
        <v>0</v>
      </c>
    </row>
    <row r="535" spans="1:28" ht="14.25" x14ac:dyDescent="0.2">
      <c r="C535" s="23" t="s">
        <v>1132</v>
      </c>
      <c r="D535" s="23">
        <f>Source!BC144</f>
        <v>6.71</v>
      </c>
      <c r="F535" s="12"/>
      <c r="G535" s="12"/>
      <c r="H535" s="12"/>
    </row>
    <row r="536" spans="1:28" ht="42.75" x14ac:dyDescent="0.2">
      <c r="A536" s="46">
        <v>83</v>
      </c>
      <c r="B536" s="46" t="str">
        <f>Source!E145</f>
        <v>32</v>
      </c>
      <c r="C536" s="46" t="str">
        <f>Source!G145</f>
        <v>Окраска масляными составами ранее окрашенных поверхностей радиаторов и ребристых труб отопления за 2 раза</v>
      </c>
      <c r="D536" s="46" t="str">
        <f>Source!F145</f>
        <v>62-33-2</v>
      </c>
      <c r="E536" s="31" t="str">
        <f>Source!H145</f>
        <v>100 м2</v>
      </c>
      <c r="F536" s="12">
        <f>Source!I145</f>
        <v>9.1700000000000004E-2</v>
      </c>
      <c r="G536" s="22">
        <f>Source!AB145</f>
        <v>729.71</v>
      </c>
      <c r="H536" s="22">
        <f>Source!O145</f>
        <v>449</v>
      </c>
      <c r="T536">
        <f>Source!O145+Source!X145+Source!Y145</f>
        <v>910.08</v>
      </c>
      <c r="U536">
        <f>Source!P145</f>
        <v>93.98</v>
      </c>
      <c r="V536">
        <f>Source!S145</f>
        <v>354.61</v>
      </c>
      <c r="W536">
        <f>Source!Q145</f>
        <v>0.41</v>
      </c>
      <c r="X536">
        <f>Source!R145</f>
        <v>7.0000000000000007E-2</v>
      </c>
      <c r="Y536">
        <f>Source!U145</f>
        <v>6.0466980000000001</v>
      </c>
      <c r="Z536">
        <f>Source!V145</f>
        <v>9.1700000000000006E-4</v>
      </c>
      <c r="AA536">
        <f>Source!X145</f>
        <v>283.74</v>
      </c>
      <c r="AB536">
        <f>Source!Y145</f>
        <v>177.34</v>
      </c>
    </row>
    <row r="537" spans="1:28" ht="14.25" x14ac:dyDescent="0.2">
      <c r="C537" s="23" t="str">
        <f>"Объем: "&amp;Source!I145&amp;"=9,17/"&amp;"100"</f>
        <v>Объем: 0,0917=9,17/100</v>
      </c>
      <c r="F537" s="12"/>
      <c r="G537" s="12"/>
      <c r="H537" s="12"/>
    </row>
    <row r="538" spans="1:28" x14ac:dyDescent="0.2">
      <c r="C538" s="23" t="s">
        <v>1130</v>
      </c>
      <c r="D538" s="23">
        <f>Source!BA145</f>
        <v>6.71</v>
      </c>
    </row>
    <row r="539" spans="1:28" x14ac:dyDescent="0.2">
      <c r="C539" s="23" t="s">
        <v>1131</v>
      </c>
      <c r="D539" s="23">
        <f>Source!BB145</f>
        <v>6.71</v>
      </c>
    </row>
    <row r="540" spans="1:28" x14ac:dyDescent="0.2">
      <c r="C540" s="23" t="s">
        <v>1132</v>
      </c>
      <c r="D540" s="23">
        <f>Source!BC145</f>
        <v>6.71</v>
      </c>
    </row>
    <row r="541" spans="1:28" x14ac:dyDescent="0.2">
      <c r="C541" s="23" t="s">
        <v>1133</v>
      </c>
      <c r="D541" s="23">
        <f>Source!BS145</f>
        <v>6.71</v>
      </c>
    </row>
    <row r="542" spans="1:28" x14ac:dyDescent="0.2">
      <c r="C542" s="9" t="s">
        <v>1134</v>
      </c>
      <c r="D542" s="34"/>
      <c r="E542" s="34"/>
      <c r="F542" s="34">
        <f>Source!BZ145</f>
        <v>80</v>
      </c>
      <c r="G542" s="57">
        <f>(Source!AF145+Source!AE145)*Source!FX145/100</f>
        <v>461.15200000000004</v>
      </c>
      <c r="H542" s="57">
        <f>Source!X145</f>
        <v>283.74</v>
      </c>
    </row>
    <row r="543" spans="1:28" x14ac:dyDescent="0.2">
      <c r="C543" s="9" t="s">
        <v>1136</v>
      </c>
      <c r="D543" s="34"/>
      <c r="E543" s="34"/>
      <c r="F543" s="34">
        <f>Source!CA145</f>
        <v>50</v>
      </c>
      <c r="G543" s="57">
        <f>(Source!AF145+Source!AE145)*Source!FY145/100</f>
        <v>288.22000000000003</v>
      </c>
      <c r="H543" s="57">
        <f>Source!Y145</f>
        <v>177.34</v>
      </c>
    </row>
    <row r="544" spans="1:28" x14ac:dyDescent="0.2">
      <c r="C544" s="9" t="s">
        <v>1138</v>
      </c>
      <c r="D544" s="34"/>
      <c r="E544" s="34"/>
      <c r="F544" s="34"/>
      <c r="G544" s="57">
        <f>((Source!AF145+Source!AE145)*Source!FX145/100)+((Source!AF145+Source!AE145)*Source!FY145/100)+Source!AB145</f>
        <v>1479.0820000000001</v>
      </c>
      <c r="H544" s="57">
        <f>Source!O145+Source!X145+Source!Y145</f>
        <v>910.08</v>
      </c>
    </row>
    <row r="545" spans="1:28" ht="28.5" x14ac:dyDescent="0.2">
      <c r="A545" s="46">
        <v>84</v>
      </c>
      <c r="B545" s="46" t="str">
        <f>Source!E146</f>
        <v>32,1</v>
      </c>
      <c r="C545" s="46" t="str">
        <f>Source!G146</f>
        <v>Краски для внутренних работ масляные готовые к применению</v>
      </c>
      <c r="D545" s="46" t="str">
        <f>Source!F146</f>
        <v>14.4.02.04</v>
      </c>
      <c r="E545" s="31" t="str">
        <f>Source!H146</f>
        <v>т</v>
      </c>
      <c r="F545" s="12">
        <f>Source!I146</f>
        <v>1.4760000000000001E-3</v>
      </c>
      <c r="G545" s="22">
        <f>Source!AB146</f>
        <v>0</v>
      </c>
      <c r="H545" s="22">
        <f>Source!O146</f>
        <v>0</v>
      </c>
      <c r="T545">
        <f>Source!O146+Source!X146+Source!Y146</f>
        <v>0</v>
      </c>
      <c r="U545">
        <f>Source!P146</f>
        <v>0</v>
      </c>
      <c r="V545">
        <f>Source!S146</f>
        <v>0</v>
      </c>
      <c r="W545">
        <f>Source!Q146</f>
        <v>0</v>
      </c>
      <c r="X545">
        <f>Source!R146</f>
        <v>0</v>
      </c>
      <c r="Y545">
        <f>Source!U146</f>
        <v>0</v>
      </c>
      <c r="Z545">
        <f>Source!V146</f>
        <v>0</v>
      </c>
      <c r="AA545">
        <f>Source!X146</f>
        <v>0</v>
      </c>
      <c r="AB545">
        <f>Source!Y146</f>
        <v>0</v>
      </c>
    </row>
    <row r="546" spans="1:28" ht="14.25" x14ac:dyDescent="0.2">
      <c r="C546" s="23" t="s">
        <v>1132</v>
      </c>
      <c r="D546" s="23">
        <f>Source!BC146</f>
        <v>6.71</v>
      </c>
      <c r="F546" s="12"/>
      <c r="G546" s="12"/>
      <c r="H546" s="12"/>
    </row>
    <row r="547" spans="1:28" ht="42.75" x14ac:dyDescent="0.2">
      <c r="A547" s="46">
        <v>85</v>
      </c>
      <c r="B547" s="46" t="str">
        <f>Source!E147</f>
        <v>32,2</v>
      </c>
      <c r="C547" s="46" t="str">
        <f>Source!G147</f>
        <v>Краски для внутренних работ масляные готовые к применению МА-15 БИО</v>
      </c>
      <c r="D547" s="46" t="str">
        <f>Source!F147</f>
        <v>14.4.02.04-0101</v>
      </c>
      <c r="E547" s="31" t="str">
        <f>Source!H147</f>
        <v>т</v>
      </c>
      <c r="F547" s="12">
        <f>Source!I147</f>
        <v>1.4760000000000001E-3</v>
      </c>
      <c r="G547" s="22">
        <f>Source!AB147</f>
        <v>42508.19</v>
      </c>
      <c r="H547" s="22">
        <f>Source!O147</f>
        <v>421</v>
      </c>
      <c r="T547">
        <f>Source!O147+Source!X147+Source!Y147</f>
        <v>421</v>
      </c>
      <c r="U547">
        <f>Source!P147</f>
        <v>421</v>
      </c>
      <c r="V547">
        <f>Source!S147</f>
        <v>0</v>
      </c>
      <c r="W547">
        <f>Source!Q147</f>
        <v>0</v>
      </c>
      <c r="X547">
        <f>Source!R147</f>
        <v>0</v>
      </c>
      <c r="Y547">
        <f>Source!U147</f>
        <v>0</v>
      </c>
      <c r="Z547">
        <f>Source!V147</f>
        <v>0</v>
      </c>
      <c r="AA547">
        <f>Source!X147</f>
        <v>0</v>
      </c>
      <c r="AB547">
        <f>Source!Y147</f>
        <v>0</v>
      </c>
    </row>
    <row r="548" spans="1:28" ht="14.25" x14ac:dyDescent="0.2">
      <c r="C548" s="23" t="s">
        <v>1132</v>
      </c>
      <c r="D548" s="23">
        <f>Source!BC147</f>
        <v>6.71</v>
      </c>
      <c r="F548" s="12"/>
      <c r="G548" s="12"/>
      <c r="H548" s="12"/>
    </row>
    <row r="549" spans="1:28" ht="28.5" x14ac:dyDescent="0.2">
      <c r="A549" s="46">
        <v>86</v>
      </c>
      <c r="B549" s="46" t="str">
        <f>Source!E148</f>
        <v>33</v>
      </c>
      <c r="C549" s="46" t="str">
        <f>Source!G148</f>
        <v>Окраска металлических огрунтованных поверхностей эмалью ПФ-115</v>
      </c>
      <c r="D549" s="46" t="str">
        <f>Source!F148</f>
        <v>13-03-004-26</v>
      </c>
      <c r="E549" s="31" t="str">
        <f>Source!H148</f>
        <v>100 м2</v>
      </c>
      <c r="F549" s="12">
        <f>Source!I148</f>
        <v>0.3</v>
      </c>
      <c r="G549" s="22">
        <f>Source!AB148</f>
        <v>338.23</v>
      </c>
      <c r="H549" s="22">
        <f>Source!O148</f>
        <v>680.86</v>
      </c>
      <c r="T549">
        <f>Source!O148+Source!X148+Source!Y148</f>
        <v>817.86</v>
      </c>
      <c r="U549">
        <f>Source!P148</f>
        <v>566.20000000000005</v>
      </c>
      <c r="V549">
        <f>Source!S148</f>
        <v>96.5</v>
      </c>
      <c r="W549">
        <f>Source!Q148</f>
        <v>18.16</v>
      </c>
      <c r="X549">
        <f>Source!R148</f>
        <v>0.66</v>
      </c>
      <c r="Y549">
        <f>Source!U148</f>
        <v>1.5856199999999998</v>
      </c>
      <c r="Z549">
        <f>Source!V148</f>
        <v>8.9999999999999993E-3</v>
      </c>
      <c r="AA549">
        <f>Source!X148</f>
        <v>78.7</v>
      </c>
      <c r="AB549">
        <f>Source!Y148</f>
        <v>58.3</v>
      </c>
    </row>
    <row r="550" spans="1:28" ht="14.25" x14ac:dyDescent="0.2">
      <c r="C550" s="23" t="str">
        <f>"Объем: "&amp;Source!I148&amp;"=30/"&amp;"100"</f>
        <v>Объем: 0,3=30/100</v>
      </c>
      <c r="F550" s="12"/>
      <c r="G550" s="12"/>
      <c r="H550" s="12"/>
    </row>
    <row r="551" spans="1:28" x14ac:dyDescent="0.2">
      <c r="C551" s="23" t="s">
        <v>1130</v>
      </c>
      <c r="D551" s="23">
        <f>Source!BA148</f>
        <v>6.71</v>
      </c>
    </row>
    <row r="552" spans="1:28" x14ac:dyDescent="0.2">
      <c r="C552" s="23" t="s">
        <v>1131</v>
      </c>
      <c r="D552" s="23">
        <f>Source!BB148</f>
        <v>6.71</v>
      </c>
    </row>
    <row r="553" spans="1:28" x14ac:dyDescent="0.2">
      <c r="C553" s="23" t="s">
        <v>1132</v>
      </c>
      <c r="D553" s="23">
        <f>Source!BC148</f>
        <v>6.71</v>
      </c>
    </row>
    <row r="554" spans="1:28" x14ac:dyDescent="0.2">
      <c r="C554" s="23" t="s">
        <v>1133</v>
      </c>
      <c r="D554" s="23">
        <f>Source!BS148</f>
        <v>6.71</v>
      </c>
    </row>
    <row r="555" spans="1:28" x14ac:dyDescent="0.2">
      <c r="C555" s="23" t="s">
        <v>1140</v>
      </c>
      <c r="D555" s="88" t="s">
        <v>174</v>
      </c>
      <c r="E555" s="88"/>
      <c r="F555" s="88"/>
      <c r="G555" s="88"/>
      <c r="H555" s="88"/>
    </row>
    <row r="556" spans="1:28" x14ac:dyDescent="0.2">
      <c r="C556" s="23" t="s">
        <v>1141</v>
      </c>
      <c r="D556" s="88" t="s">
        <v>174</v>
      </c>
      <c r="E556" s="88"/>
      <c r="F556" s="88"/>
      <c r="G556" s="88"/>
      <c r="H556" s="88"/>
    </row>
    <row r="557" spans="1:28" x14ac:dyDescent="0.2">
      <c r="C557" s="23" t="s">
        <v>1142</v>
      </c>
      <c r="D557" s="88" t="s">
        <v>175</v>
      </c>
      <c r="E557" s="88"/>
      <c r="F557" s="88"/>
      <c r="G557" s="88"/>
      <c r="H557" s="88"/>
    </row>
    <row r="558" spans="1:28" x14ac:dyDescent="0.2">
      <c r="C558" s="23" t="s">
        <v>1143</v>
      </c>
      <c r="D558" s="88" t="s">
        <v>175</v>
      </c>
      <c r="E558" s="88"/>
      <c r="F558" s="88"/>
      <c r="G558" s="88"/>
      <c r="H558" s="88"/>
    </row>
    <row r="559" spans="1:28" x14ac:dyDescent="0.2">
      <c r="C559" s="23" t="s">
        <v>1144</v>
      </c>
      <c r="D559" s="88" t="s">
        <v>174</v>
      </c>
      <c r="E559" s="88"/>
      <c r="F559" s="88"/>
      <c r="G559" s="88"/>
      <c r="H559" s="88"/>
    </row>
    <row r="560" spans="1:28" x14ac:dyDescent="0.2">
      <c r="C560" s="9" t="s">
        <v>1134</v>
      </c>
      <c r="D560" s="34"/>
      <c r="E560" s="34"/>
      <c r="F560" s="34">
        <f>Source!BZ148</f>
        <v>90</v>
      </c>
      <c r="G560" s="57">
        <f>(Source!AF148+Source!AE148)*Source!FX148/100</f>
        <v>39.098700000000001</v>
      </c>
      <c r="H560" s="57">
        <f>Source!X148</f>
        <v>78.7</v>
      </c>
    </row>
    <row r="561" spans="1:28" x14ac:dyDescent="0.2">
      <c r="C561" s="9" t="s">
        <v>1135</v>
      </c>
      <c r="D561" s="34"/>
      <c r="E561" s="34"/>
      <c r="F561" s="34"/>
      <c r="G561" s="34" t="str">
        <f>CONCATENATE(Source!DL148,Source!FT148, "=", Source!FX148, "%")</f>
        <v>*0,9=81%</v>
      </c>
      <c r="H561" s="34" t="str">
        <f>CONCATENATE(Source!AT148)</f>
        <v>81</v>
      </c>
    </row>
    <row r="562" spans="1:28" x14ac:dyDescent="0.2">
      <c r="C562" s="9" t="s">
        <v>1136</v>
      </c>
      <c r="D562" s="34"/>
      <c r="E562" s="34"/>
      <c r="F562" s="34">
        <f>Source!CA148</f>
        <v>70</v>
      </c>
      <c r="G562" s="57">
        <f>(Source!AF148+Source!AE148)*Source!FY148/100</f>
        <v>28.720649999999996</v>
      </c>
      <c r="H562" s="57">
        <f>Source!Y148</f>
        <v>58.3</v>
      </c>
    </row>
    <row r="563" spans="1:28" x14ac:dyDescent="0.2">
      <c r="C563" s="9" t="s">
        <v>1137</v>
      </c>
      <c r="D563" s="34"/>
      <c r="E563" s="34"/>
      <c r="F563" s="34"/>
      <c r="G563" s="34" t="str">
        <f>CONCATENATE(Source!DM148,Source!FU148, "=", Source!FY148, "%")</f>
        <v>*0,85=59,5%</v>
      </c>
      <c r="H563" s="34" t="str">
        <f>CONCATENATE(Source!AU148)</f>
        <v>60</v>
      </c>
    </row>
    <row r="564" spans="1:28" x14ac:dyDescent="0.2">
      <c r="C564" s="9" t="s">
        <v>1138</v>
      </c>
      <c r="D564" s="34"/>
      <c r="E564" s="34"/>
      <c r="F564" s="34"/>
      <c r="G564" s="57">
        <f>((Source!AF148+Source!AE148)*Source!FX148/100)+((Source!AF148+Source!AE148)*Source!FY148/100)+Source!AB148</f>
        <v>406.04935</v>
      </c>
      <c r="H564" s="57">
        <f>Source!O148+Source!X148+Source!Y148</f>
        <v>817.86</v>
      </c>
    </row>
    <row r="565" spans="1:28" ht="42.75" x14ac:dyDescent="0.2">
      <c r="A565" s="46">
        <v>87</v>
      </c>
      <c r="B565" s="46" t="str">
        <f>Source!E149</f>
        <v>34</v>
      </c>
      <c r="C565" s="46" t="str">
        <f>Source!G149</f>
        <v>Погрузочные работы при автомобильных перевозках мусора строительного с погрузкой вручную</v>
      </c>
      <c r="D565" s="46" t="str">
        <f>Source!F149</f>
        <v>т01-01-01-041</v>
      </c>
      <c r="E565" s="31" t="str">
        <f>Source!H149</f>
        <v>1 Т ГРУЗА</v>
      </c>
      <c r="F565" s="12">
        <f>Source!I149</f>
        <v>1.8</v>
      </c>
      <c r="G565" s="22">
        <f>Source!AB149</f>
        <v>42.98</v>
      </c>
      <c r="H565" s="22">
        <f>Source!GM149</f>
        <v>519.11</v>
      </c>
      <c r="T565">
        <f>Source!GM149</f>
        <v>519.11</v>
      </c>
      <c r="U565">
        <f>Source!P149</f>
        <v>0</v>
      </c>
      <c r="V565">
        <f>Source!S149</f>
        <v>0</v>
      </c>
      <c r="W565">
        <f>Source!Q149</f>
        <v>0</v>
      </c>
      <c r="X565">
        <f>Source!R149</f>
        <v>0</v>
      </c>
      <c r="Y565">
        <f>Source!U149</f>
        <v>0</v>
      </c>
      <c r="Z565">
        <f>Source!V149</f>
        <v>0</v>
      </c>
      <c r="AA565">
        <f>Source!X149</f>
        <v>0</v>
      </c>
      <c r="AB565">
        <f>Source!Y149</f>
        <v>0</v>
      </c>
    </row>
    <row r="566" spans="1:28" ht="14.25" x14ac:dyDescent="0.2">
      <c r="C566" s="23" t="s">
        <v>1147</v>
      </c>
      <c r="D566" s="23">
        <f>Source!AZ149</f>
        <v>6.71</v>
      </c>
      <c r="F566" s="12"/>
      <c r="G566" s="12"/>
      <c r="H566" s="12"/>
    </row>
    <row r="567" spans="1:28" ht="57" x14ac:dyDescent="0.2">
      <c r="A567" s="46">
        <v>88</v>
      </c>
      <c r="B567" s="46" t="str">
        <f>Source!E150</f>
        <v>35</v>
      </c>
      <c r="C567" s="46" t="str">
        <f>Source!G150</f>
        <v>Перевозка грузов I класса автомобилями бортовыми грузоподъемностью до 15 т на расстояние до 50 км</v>
      </c>
      <c r="D567" s="46" t="str">
        <f>Source!F150</f>
        <v>т03-01-01-050</v>
      </c>
      <c r="E567" s="31" t="str">
        <f>Source!H150</f>
        <v>1 Т ГРУЗА</v>
      </c>
      <c r="F567" s="12">
        <f>Source!I150</f>
        <v>1.8</v>
      </c>
      <c r="G567" s="22">
        <f>Source!AB150</f>
        <v>23.67</v>
      </c>
      <c r="H567" s="22">
        <f>Source!GM150</f>
        <v>285.89</v>
      </c>
      <c r="T567">
        <f>Source!GM150</f>
        <v>285.89</v>
      </c>
      <c r="U567">
        <f>Source!P150</f>
        <v>0</v>
      </c>
      <c r="V567">
        <f>Source!S150</f>
        <v>0</v>
      </c>
      <c r="W567">
        <f>Source!Q150</f>
        <v>0</v>
      </c>
      <c r="X567">
        <f>Source!R150</f>
        <v>0</v>
      </c>
      <c r="Y567">
        <f>Source!U150</f>
        <v>0</v>
      </c>
      <c r="Z567">
        <f>Source!V150</f>
        <v>0</v>
      </c>
      <c r="AA567">
        <f>Source!X150</f>
        <v>0</v>
      </c>
      <c r="AB567">
        <f>Source!Y150</f>
        <v>0</v>
      </c>
    </row>
    <row r="568" spans="1:28" ht="14.25" x14ac:dyDescent="0.2">
      <c r="C568" s="23" t="s">
        <v>1147</v>
      </c>
      <c r="D568" s="23">
        <f>Source!AZ150</f>
        <v>6.71</v>
      </c>
      <c r="F568" s="12"/>
      <c r="G568" s="12"/>
      <c r="H568" s="12"/>
    </row>
    <row r="570" spans="1:28" ht="15" x14ac:dyDescent="0.25">
      <c r="A570" s="58"/>
      <c r="B570" s="58"/>
      <c r="C570" s="71" t="str">
        <f>CONCATENATE("Итого по разделу: ",IF(Source!G152&lt;&gt;"Новый раздел", Source!G152, ""))</f>
        <v>Итого по разделу: Монтаж</v>
      </c>
      <c r="D570" s="71"/>
      <c r="E570" s="71"/>
      <c r="F570" s="71"/>
      <c r="G570" s="58"/>
      <c r="H570" s="59">
        <f>IF(SUM(T223:T569)=0, "-", SUM(T223:T569))</f>
        <v>713256.70999999985</v>
      </c>
    </row>
    <row r="571" spans="1:28" ht="15" x14ac:dyDescent="0.25">
      <c r="A571" s="58"/>
      <c r="B571" s="58"/>
      <c r="C571" s="58"/>
      <c r="D571" s="58"/>
      <c r="E571" s="58"/>
      <c r="F571" s="58"/>
      <c r="G571" s="58"/>
      <c r="H571" s="58"/>
    </row>
    <row r="574" spans="1:28" ht="16.5" x14ac:dyDescent="0.25">
      <c r="A574" s="74" t="str">
        <f>CONCATENATE("Раздел: ",IF(Source!G181&lt;&gt;"Новый раздел", Source!G181, ""))</f>
        <v>Раздел: Электромонтажные работы</v>
      </c>
      <c r="B574" s="74"/>
      <c r="C574" s="74"/>
      <c r="D574" s="74"/>
      <c r="E574" s="74"/>
      <c r="F574" s="74"/>
      <c r="G574" s="74"/>
      <c r="H574" s="74"/>
    </row>
    <row r="575" spans="1:28" ht="42.75" x14ac:dyDescent="0.2">
      <c r="A575" s="46">
        <v>89</v>
      </c>
      <c r="B575" s="46" t="str">
        <f>Source!E185</f>
        <v>36</v>
      </c>
      <c r="C575" s="46" t="str">
        <f>Source!G185</f>
        <v>Громкоговоритель или звуковая колонка в помещении (ранее демонтированные)</v>
      </c>
      <c r="D575" s="46" t="str">
        <f>Source!F185</f>
        <v>м10-04-101-07</v>
      </c>
      <c r="E575" s="31" t="str">
        <f>Source!H185</f>
        <v>ШТ</v>
      </c>
      <c r="F575" s="12">
        <f>Source!I185</f>
        <v>6</v>
      </c>
      <c r="G575" s="22">
        <f>Source!AB185</f>
        <v>34.4</v>
      </c>
      <c r="H575" s="22">
        <f>Source!O185</f>
        <v>1384.94</v>
      </c>
      <c r="T575">
        <f>Source!O185+Source!X185+Source!Y185</f>
        <v>2760.9800000000005</v>
      </c>
      <c r="U575">
        <f>Source!P185</f>
        <v>508.48</v>
      </c>
      <c r="V575">
        <f>Source!S185</f>
        <v>876.46</v>
      </c>
      <c r="W575">
        <f>Source!Q185</f>
        <v>0</v>
      </c>
      <c r="X575">
        <f>Source!R185</f>
        <v>0</v>
      </c>
      <c r="Y575">
        <f>Source!U185</f>
        <v>14.399999999999999</v>
      </c>
      <c r="Z575">
        <f>Source!V185</f>
        <v>0</v>
      </c>
      <c r="AA575">
        <f>Source!X185</f>
        <v>806.34</v>
      </c>
      <c r="AB575">
        <f>Source!Y185</f>
        <v>569.70000000000005</v>
      </c>
    </row>
    <row r="576" spans="1:28" ht="14.25" x14ac:dyDescent="0.2">
      <c r="C576" s="23" t="s">
        <v>1130</v>
      </c>
      <c r="D576" s="23">
        <f>Source!BA185</f>
        <v>6.71</v>
      </c>
      <c r="F576" s="12"/>
      <c r="G576" s="12"/>
      <c r="H576" s="12"/>
    </row>
    <row r="577" spans="1:28" x14ac:dyDescent="0.2">
      <c r="C577" s="23" t="s">
        <v>1131</v>
      </c>
      <c r="D577" s="23">
        <f>Source!BB185</f>
        <v>6.71</v>
      </c>
    </row>
    <row r="578" spans="1:28" x14ac:dyDescent="0.2">
      <c r="C578" s="23" t="s">
        <v>1132</v>
      </c>
      <c r="D578" s="23">
        <f>Source!BC185</f>
        <v>6.71</v>
      </c>
    </row>
    <row r="579" spans="1:28" x14ac:dyDescent="0.2">
      <c r="C579" s="23" t="s">
        <v>1133</v>
      </c>
      <c r="D579" s="23">
        <f>Source!BS185</f>
        <v>6.71</v>
      </c>
    </row>
    <row r="580" spans="1:28" x14ac:dyDescent="0.2">
      <c r="C580" s="23" t="s">
        <v>1140</v>
      </c>
      <c r="D580" s="88" t="s">
        <v>443</v>
      </c>
      <c r="E580" s="88"/>
      <c r="F580" s="88"/>
      <c r="G580" s="88"/>
      <c r="H580" s="88"/>
    </row>
    <row r="581" spans="1:28" x14ac:dyDescent="0.2">
      <c r="C581" s="23" t="s">
        <v>1141</v>
      </c>
      <c r="D581" s="88" t="s">
        <v>443</v>
      </c>
      <c r="E581" s="88"/>
      <c r="F581" s="88"/>
      <c r="G581" s="88"/>
      <c r="H581" s="88"/>
    </row>
    <row r="582" spans="1:28" x14ac:dyDescent="0.2">
      <c r="C582" s="23" t="s">
        <v>1142</v>
      </c>
      <c r="D582" s="88" t="s">
        <v>443</v>
      </c>
      <c r="E582" s="88"/>
      <c r="F582" s="88"/>
      <c r="G582" s="88"/>
      <c r="H582" s="88"/>
    </row>
    <row r="583" spans="1:28" x14ac:dyDescent="0.2">
      <c r="C583" s="23" t="s">
        <v>1143</v>
      </c>
      <c r="D583" s="88" t="s">
        <v>443</v>
      </c>
      <c r="E583" s="88"/>
      <c r="F583" s="88"/>
      <c r="G583" s="88"/>
      <c r="H583" s="88"/>
    </row>
    <row r="584" spans="1:28" x14ac:dyDescent="0.2">
      <c r="C584" s="23" t="s">
        <v>1144</v>
      </c>
      <c r="D584" s="88" t="s">
        <v>443</v>
      </c>
      <c r="E584" s="88"/>
      <c r="F584" s="88"/>
      <c r="G584" s="88"/>
      <c r="H584" s="88"/>
    </row>
    <row r="585" spans="1:28" x14ac:dyDescent="0.2">
      <c r="C585" s="9" t="s">
        <v>1134</v>
      </c>
      <c r="D585" s="34"/>
      <c r="E585" s="34"/>
      <c r="F585" s="34">
        <f>Source!BZ185</f>
        <v>92</v>
      </c>
      <c r="G585" s="57">
        <f>(Source!AF185+Source!AE185)*Source!FX185/100</f>
        <v>20.028399999999998</v>
      </c>
      <c r="H585" s="57">
        <f>Source!X185</f>
        <v>806.34</v>
      </c>
    </row>
    <row r="586" spans="1:28" x14ac:dyDescent="0.2">
      <c r="C586" s="9" t="s">
        <v>1136</v>
      </c>
      <c r="D586" s="34"/>
      <c r="E586" s="34"/>
      <c r="F586" s="34">
        <f>Source!CA185</f>
        <v>65</v>
      </c>
      <c r="G586" s="57">
        <f>(Source!AF185+Source!AE185)*Source!FY185/100</f>
        <v>14.150499999999999</v>
      </c>
      <c r="H586" s="57">
        <f>Source!Y185</f>
        <v>569.70000000000005</v>
      </c>
    </row>
    <row r="587" spans="1:28" x14ac:dyDescent="0.2">
      <c r="C587" s="9" t="s">
        <v>1138</v>
      </c>
      <c r="D587" s="34"/>
      <c r="E587" s="34"/>
      <c r="F587" s="34"/>
      <c r="G587" s="57">
        <f>((Source!AF185+Source!AE185)*Source!FX185/100)+((Source!AF185+Source!AE185)*Source!FY185/100)+Source!AB185</f>
        <v>68.578900000000004</v>
      </c>
      <c r="H587" s="57">
        <f>Source!O185+Source!X185+Source!Y185</f>
        <v>2760.9800000000005</v>
      </c>
    </row>
    <row r="588" spans="1:28" ht="57" x14ac:dyDescent="0.2">
      <c r="A588" s="46">
        <v>90</v>
      </c>
      <c r="B588" s="46" t="str">
        <f>Source!E186</f>
        <v>37</v>
      </c>
      <c r="C588" s="46" t="str">
        <f>Source!G186</f>
        <v>Извещатель ПС автоматический тепловой электро-контактный, магнитоконтактный в нормальном исполнении (ранее демонтированые)</v>
      </c>
      <c r="D588" s="46" t="str">
        <f>Source!F186</f>
        <v>м10-08-002-01</v>
      </c>
      <c r="E588" s="31" t="str">
        <f>Source!H186</f>
        <v>ШТ</v>
      </c>
      <c r="F588" s="12">
        <f>Source!I186</f>
        <v>21</v>
      </c>
      <c r="G588" s="22">
        <f>Source!AB186</f>
        <v>10.98</v>
      </c>
      <c r="H588" s="22">
        <f>Source!O186</f>
        <v>1547.19</v>
      </c>
      <c r="T588">
        <f>Source!O186+Source!X186+Source!Y186</f>
        <v>3460.75</v>
      </c>
      <c r="U588">
        <f>Source!P186</f>
        <v>180.36</v>
      </c>
      <c r="V588">
        <f>Source!S186</f>
        <v>1366.83</v>
      </c>
      <c r="W588">
        <f>Source!Q186</f>
        <v>0</v>
      </c>
      <c r="X588">
        <f>Source!R186</f>
        <v>0</v>
      </c>
      <c r="Y588">
        <f>Source!U186</f>
        <v>21.167999999999999</v>
      </c>
      <c r="Z588">
        <f>Source!V186</f>
        <v>0</v>
      </c>
      <c r="AA588">
        <f>Source!X186</f>
        <v>1093.46</v>
      </c>
      <c r="AB588">
        <f>Source!Y186</f>
        <v>820.1</v>
      </c>
    </row>
    <row r="589" spans="1:28" ht="14.25" x14ac:dyDescent="0.2">
      <c r="C589" s="23" t="s">
        <v>1130</v>
      </c>
      <c r="D589" s="23">
        <f>Source!BA186</f>
        <v>6.71</v>
      </c>
      <c r="F589" s="12"/>
      <c r="G589" s="12"/>
      <c r="H589" s="12"/>
    </row>
    <row r="590" spans="1:28" x14ac:dyDescent="0.2">
      <c r="C590" s="23" t="s">
        <v>1131</v>
      </c>
      <c r="D590" s="23">
        <f>Source!BB186</f>
        <v>6.71</v>
      </c>
    </row>
    <row r="591" spans="1:28" x14ac:dyDescent="0.2">
      <c r="C591" s="23" t="s">
        <v>1132</v>
      </c>
      <c r="D591" s="23">
        <f>Source!BC186</f>
        <v>6.71</v>
      </c>
    </row>
    <row r="592" spans="1:28" x14ac:dyDescent="0.2">
      <c r="C592" s="23" t="s">
        <v>1133</v>
      </c>
      <c r="D592" s="23">
        <f>Source!BS186</f>
        <v>6.71</v>
      </c>
    </row>
    <row r="593" spans="1:28" x14ac:dyDescent="0.2">
      <c r="C593" s="23" t="s">
        <v>1140</v>
      </c>
      <c r="D593" s="88" t="s">
        <v>443</v>
      </c>
      <c r="E593" s="88"/>
      <c r="F593" s="88"/>
      <c r="G593" s="88"/>
      <c r="H593" s="88"/>
    </row>
    <row r="594" spans="1:28" x14ac:dyDescent="0.2">
      <c r="C594" s="23" t="s">
        <v>1141</v>
      </c>
      <c r="D594" s="88" t="s">
        <v>443</v>
      </c>
      <c r="E594" s="88"/>
      <c r="F594" s="88"/>
      <c r="G594" s="88"/>
      <c r="H594" s="88"/>
    </row>
    <row r="595" spans="1:28" x14ac:dyDescent="0.2">
      <c r="C595" s="23" t="s">
        <v>1142</v>
      </c>
      <c r="D595" s="88" t="s">
        <v>443</v>
      </c>
      <c r="E595" s="88"/>
      <c r="F595" s="88"/>
      <c r="G595" s="88"/>
      <c r="H595" s="88"/>
    </row>
    <row r="596" spans="1:28" x14ac:dyDescent="0.2">
      <c r="C596" s="23" t="s">
        <v>1143</v>
      </c>
      <c r="D596" s="88" t="s">
        <v>443</v>
      </c>
      <c r="E596" s="88"/>
      <c r="F596" s="88"/>
      <c r="G596" s="88"/>
      <c r="H596" s="88"/>
    </row>
    <row r="597" spans="1:28" x14ac:dyDescent="0.2">
      <c r="C597" s="23" t="s">
        <v>1144</v>
      </c>
      <c r="D597" s="88" t="s">
        <v>443</v>
      </c>
      <c r="E597" s="88"/>
      <c r="F597" s="88"/>
      <c r="G597" s="88"/>
      <c r="H597" s="88"/>
    </row>
    <row r="598" spans="1:28" x14ac:dyDescent="0.2">
      <c r="C598" s="9" t="s">
        <v>1134</v>
      </c>
      <c r="D598" s="34"/>
      <c r="E598" s="34"/>
      <c r="F598" s="34">
        <f>Source!BZ186</f>
        <v>80</v>
      </c>
      <c r="G598" s="57">
        <f>(Source!AF186+Source!AE186)*Source!FX186/100</f>
        <v>7.76</v>
      </c>
      <c r="H598" s="57">
        <f>Source!X186</f>
        <v>1093.46</v>
      </c>
    </row>
    <row r="599" spans="1:28" x14ac:dyDescent="0.2">
      <c r="C599" s="9" t="s">
        <v>1136</v>
      </c>
      <c r="D599" s="34"/>
      <c r="E599" s="34"/>
      <c r="F599" s="34">
        <f>Source!CA186</f>
        <v>60</v>
      </c>
      <c r="G599" s="57">
        <f>(Source!AF186+Source!AE186)*Source!FY186/100</f>
        <v>5.82</v>
      </c>
      <c r="H599" s="57">
        <f>Source!Y186</f>
        <v>820.1</v>
      </c>
    </row>
    <row r="600" spans="1:28" x14ac:dyDescent="0.2">
      <c r="C600" s="9" t="s">
        <v>1138</v>
      </c>
      <c r="D600" s="34"/>
      <c r="E600" s="34"/>
      <c r="F600" s="34"/>
      <c r="G600" s="57">
        <f>((Source!AF186+Source!AE186)*Source!FX186/100)+((Source!AF186+Source!AE186)*Source!FY186/100)+Source!AB186</f>
        <v>24.560000000000002</v>
      </c>
      <c r="H600" s="57">
        <f>Source!O186+Source!X186+Source!Y186</f>
        <v>3460.75</v>
      </c>
    </row>
    <row r="601" spans="1:28" ht="28.5" x14ac:dyDescent="0.2">
      <c r="A601" s="46">
        <v>91</v>
      </c>
      <c r="B601" s="46" t="str">
        <f>Source!E187</f>
        <v>38</v>
      </c>
      <c r="C601" s="46" t="str">
        <f>Source!G187</f>
        <v>Прокладка труб гофрированных ПВХ для защиты проводов и кабелей</v>
      </c>
      <c r="D601" s="46" t="str">
        <f>Source!F187</f>
        <v>м08-10-010-01</v>
      </c>
      <c r="E601" s="31" t="str">
        <f>Source!H187</f>
        <v>100 м</v>
      </c>
      <c r="F601" s="12">
        <f>Source!I187</f>
        <v>0.2</v>
      </c>
      <c r="G601" s="22">
        <f>Source!AB187</f>
        <v>184.24</v>
      </c>
      <c r="H601" s="22">
        <f>Source!O187</f>
        <v>247.25</v>
      </c>
      <c r="T601">
        <f>Source!O187+Source!X187+Source!Y187</f>
        <v>606.79999999999995</v>
      </c>
      <c r="U601">
        <f>Source!P187</f>
        <v>22.53</v>
      </c>
      <c r="V601">
        <f>Source!S187</f>
        <v>224.72</v>
      </c>
      <c r="W601">
        <f>Source!Q187</f>
        <v>0</v>
      </c>
      <c r="X601">
        <f>Source!R187</f>
        <v>0</v>
      </c>
      <c r="Y601">
        <f>Source!U187</f>
        <v>3.6479999999999997</v>
      </c>
      <c r="Z601">
        <f>Source!V187</f>
        <v>0</v>
      </c>
      <c r="AA601">
        <f>Source!X187</f>
        <v>213.48</v>
      </c>
      <c r="AB601">
        <f>Source!Y187</f>
        <v>146.07</v>
      </c>
    </row>
    <row r="602" spans="1:28" ht="14.25" x14ac:dyDescent="0.2">
      <c r="C602" s="23" t="str">
        <f>"Объем: "&amp;Source!I187&amp;"=20/"&amp;"100"</f>
        <v>Объем: 0,2=20/100</v>
      </c>
      <c r="F602" s="12"/>
      <c r="G602" s="12"/>
      <c r="H602" s="12"/>
    </row>
    <row r="603" spans="1:28" x14ac:dyDescent="0.2">
      <c r="C603" s="23" t="s">
        <v>1130</v>
      </c>
      <c r="D603" s="23">
        <f>Source!BA187</f>
        <v>6.71</v>
      </c>
    </row>
    <row r="604" spans="1:28" x14ac:dyDescent="0.2">
      <c r="C604" s="23" t="s">
        <v>1131</v>
      </c>
      <c r="D604" s="23">
        <f>Source!BB187</f>
        <v>6.71</v>
      </c>
    </row>
    <row r="605" spans="1:28" x14ac:dyDescent="0.2">
      <c r="C605" s="23" t="s">
        <v>1132</v>
      </c>
      <c r="D605" s="23">
        <f>Source!BC187</f>
        <v>6.71</v>
      </c>
    </row>
    <row r="606" spans="1:28" x14ac:dyDescent="0.2">
      <c r="C606" s="23" t="s">
        <v>1133</v>
      </c>
      <c r="D606" s="23">
        <f>Source!BS187</f>
        <v>6.71</v>
      </c>
    </row>
    <row r="607" spans="1:28" x14ac:dyDescent="0.2">
      <c r="C607" s="23" t="s">
        <v>1140</v>
      </c>
      <c r="D607" s="88" t="s">
        <v>443</v>
      </c>
      <c r="E607" s="88"/>
      <c r="F607" s="88"/>
      <c r="G607" s="88"/>
      <c r="H607" s="88"/>
    </row>
    <row r="608" spans="1:28" x14ac:dyDescent="0.2">
      <c r="C608" s="23" t="s">
        <v>1141</v>
      </c>
      <c r="D608" s="88" t="s">
        <v>443</v>
      </c>
      <c r="E608" s="88"/>
      <c r="F608" s="88"/>
      <c r="G608" s="88"/>
      <c r="H608" s="88"/>
    </row>
    <row r="609" spans="1:28" x14ac:dyDescent="0.2">
      <c r="C609" s="23" t="s">
        <v>1142</v>
      </c>
      <c r="D609" s="88" t="s">
        <v>443</v>
      </c>
      <c r="E609" s="88"/>
      <c r="F609" s="88"/>
      <c r="G609" s="88"/>
      <c r="H609" s="88"/>
    </row>
    <row r="610" spans="1:28" x14ac:dyDescent="0.2">
      <c r="C610" s="23" t="s">
        <v>1143</v>
      </c>
      <c r="D610" s="88" t="s">
        <v>443</v>
      </c>
      <c r="E610" s="88"/>
      <c r="F610" s="88"/>
      <c r="G610" s="88"/>
      <c r="H610" s="88"/>
    </row>
    <row r="611" spans="1:28" x14ac:dyDescent="0.2">
      <c r="C611" s="23" t="s">
        <v>1144</v>
      </c>
      <c r="D611" s="88" t="s">
        <v>443</v>
      </c>
      <c r="E611" s="88"/>
      <c r="F611" s="88"/>
      <c r="G611" s="88"/>
      <c r="H611" s="88"/>
    </row>
    <row r="612" spans="1:28" x14ac:dyDescent="0.2">
      <c r="C612" s="9" t="s">
        <v>1134</v>
      </c>
      <c r="D612" s="34"/>
      <c r="E612" s="34"/>
      <c r="F612" s="34">
        <f>Source!BZ187</f>
        <v>95</v>
      </c>
      <c r="G612" s="57">
        <f>(Source!AF187+Source!AE187)*Source!FX187/100</f>
        <v>159.07749999999999</v>
      </c>
      <c r="H612" s="57">
        <f>Source!X187</f>
        <v>213.48</v>
      </c>
    </row>
    <row r="613" spans="1:28" x14ac:dyDescent="0.2">
      <c r="C613" s="9" t="s">
        <v>1136</v>
      </c>
      <c r="D613" s="34"/>
      <c r="E613" s="34"/>
      <c r="F613" s="34">
        <f>Source!CA187</f>
        <v>65</v>
      </c>
      <c r="G613" s="57">
        <f>(Source!AF187+Source!AE187)*Source!FY187/100</f>
        <v>108.8425</v>
      </c>
      <c r="H613" s="57">
        <f>Source!Y187</f>
        <v>146.07</v>
      </c>
    </row>
    <row r="614" spans="1:28" x14ac:dyDescent="0.2">
      <c r="C614" s="9" t="s">
        <v>1138</v>
      </c>
      <c r="D614" s="34"/>
      <c r="E614" s="34"/>
      <c r="F614" s="34"/>
      <c r="G614" s="57">
        <f>((Source!AF187+Source!AE187)*Source!FX187/100)+((Source!AF187+Source!AE187)*Source!FY187/100)+Source!AB187</f>
        <v>452.15999999999997</v>
      </c>
      <c r="H614" s="57">
        <f>Source!O187+Source!X187+Source!Y187</f>
        <v>606.79999999999995</v>
      </c>
    </row>
    <row r="615" spans="1:28" ht="42.75" x14ac:dyDescent="0.2">
      <c r="A615" s="46">
        <v>92</v>
      </c>
      <c r="B615" s="46" t="str">
        <f>Source!E188</f>
        <v>38,1</v>
      </c>
      <c r="C615" s="46" t="str">
        <f>Source!G188</f>
        <v>Трубы гибкие гофрированные легкие из самозатухающего ПВХ (IP55) серии FL, с зондом, диаметром 16 мм</v>
      </c>
      <c r="D615" s="46" t="str">
        <f>Source!F188</f>
        <v>24.3.01.02-0021</v>
      </c>
      <c r="E615" s="31" t="str">
        <f>Source!H188</f>
        <v>10 м</v>
      </c>
      <c r="F615" s="12">
        <f>Source!I188</f>
        <v>2</v>
      </c>
      <c r="G615" s="22">
        <f>Source!AB188</f>
        <v>16.11</v>
      </c>
      <c r="H615" s="22">
        <f>Source!O188</f>
        <v>216.2</v>
      </c>
      <c r="T615">
        <f>Source!O188+Source!X188+Source!Y188</f>
        <v>216.2</v>
      </c>
      <c r="U615">
        <f>Source!P188</f>
        <v>216.2</v>
      </c>
      <c r="V615">
        <f>Source!S188</f>
        <v>0</v>
      </c>
      <c r="W615">
        <f>Source!Q188</f>
        <v>0</v>
      </c>
      <c r="X615">
        <f>Source!R188</f>
        <v>0</v>
      </c>
      <c r="Y615">
        <f>Source!U188</f>
        <v>0</v>
      </c>
      <c r="Z615">
        <f>Source!V188</f>
        <v>0</v>
      </c>
      <c r="AA615">
        <f>Source!X188</f>
        <v>0</v>
      </c>
      <c r="AB615">
        <f>Source!Y188</f>
        <v>0</v>
      </c>
    </row>
    <row r="616" spans="1:28" ht="14.25" x14ac:dyDescent="0.2">
      <c r="C616" s="23" t="s">
        <v>1132</v>
      </c>
      <c r="D616" s="23">
        <f>Source!BC188</f>
        <v>6.71</v>
      </c>
      <c r="F616" s="12"/>
      <c r="G616" s="12"/>
      <c r="H616" s="12"/>
    </row>
    <row r="617" spans="1:28" ht="71.25" x14ac:dyDescent="0.2">
      <c r="A617" s="46">
        <v>93</v>
      </c>
      <c r="B617" s="46" t="str">
        <f>Source!E189</f>
        <v>39</v>
      </c>
      <c r="C617" s="46" t="str">
        <f>Source!G189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617" s="46" t="str">
        <f>Source!F189</f>
        <v>м08-02-412-03</v>
      </c>
      <c r="E617" s="31" t="str">
        <f>Source!H189</f>
        <v>100 м</v>
      </c>
      <c r="F617" s="12">
        <f>Source!I189</f>
        <v>0.2</v>
      </c>
      <c r="G617" s="22">
        <f>Source!AB189</f>
        <v>100.04</v>
      </c>
      <c r="H617" s="22">
        <f>Source!O189</f>
        <v>134.26</v>
      </c>
      <c r="T617">
        <f>Source!O189+Source!X189+Source!Y189</f>
        <v>288.58</v>
      </c>
      <c r="U617">
        <f>Source!P189</f>
        <v>30.45</v>
      </c>
      <c r="V617">
        <f>Source!S189</f>
        <v>95.23</v>
      </c>
      <c r="W617">
        <f>Source!Q189</f>
        <v>8.58</v>
      </c>
      <c r="X617">
        <f>Source!R189</f>
        <v>1.22</v>
      </c>
      <c r="Y617">
        <f>Source!U189</f>
        <v>1.5096000000000001</v>
      </c>
      <c r="Z617">
        <f>Source!V189</f>
        <v>1.44E-2</v>
      </c>
      <c r="AA617">
        <f>Source!X189</f>
        <v>91.63</v>
      </c>
      <c r="AB617">
        <f>Source!Y189</f>
        <v>62.69</v>
      </c>
    </row>
    <row r="618" spans="1:28" ht="14.25" x14ac:dyDescent="0.2">
      <c r="C618" s="23" t="str">
        <f>"Объем: "&amp;Source!I189&amp;"=20/"&amp;"100"</f>
        <v>Объем: 0,2=20/100</v>
      </c>
      <c r="F618" s="12"/>
      <c r="G618" s="12"/>
      <c r="H618" s="12"/>
    </row>
    <row r="619" spans="1:28" x14ac:dyDescent="0.2">
      <c r="C619" s="23" t="s">
        <v>1130</v>
      </c>
      <c r="D619" s="23">
        <f>Source!BA189</f>
        <v>6.71</v>
      </c>
    </row>
    <row r="620" spans="1:28" x14ac:dyDescent="0.2">
      <c r="C620" s="23" t="s">
        <v>1131</v>
      </c>
      <c r="D620" s="23">
        <f>Source!BB189</f>
        <v>6.71</v>
      </c>
    </row>
    <row r="621" spans="1:28" x14ac:dyDescent="0.2">
      <c r="C621" s="23" t="s">
        <v>1132</v>
      </c>
      <c r="D621" s="23">
        <f>Source!BC189</f>
        <v>6.71</v>
      </c>
    </row>
    <row r="622" spans="1:28" x14ac:dyDescent="0.2">
      <c r="C622" s="23" t="s">
        <v>1133</v>
      </c>
      <c r="D622" s="23">
        <f>Source!BS189</f>
        <v>6.71</v>
      </c>
    </row>
    <row r="623" spans="1:28" x14ac:dyDescent="0.2">
      <c r="C623" s="23" t="s">
        <v>1140</v>
      </c>
      <c r="D623" s="88" t="s">
        <v>443</v>
      </c>
      <c r="E623" s="88"/>
      <c r="F623" s="88"/>
      <c r="G623" s="88"/>
      <c r="H623" s="88"/>
    </row>
    <row r="624" spans="1:28" x14ac:dyDescent="0.2">
      <c r="C624" s="23" t="s">
        <v>1141</v>
      </c>
      <c r="D624" s="88" t="s">
        <v>443</v>
      </c>
      <c r="E624" s="88"/>
      <c r="F624" s="88"/>
      <c r="G624" s="88"/>
      <c r="H624" s="88"/>
    </row>
    <row r="625" spans="1:28" x14ac:dyDescent="0.2">
      <c r="C625" s="23" t="s">
        <v>1142</v>
      </c>
      <c r="D625" s="88" t="s">
        <v>443</v>
      </c>
      <c r="E625" s="88"/>
      <c r="F625" s="88"/>
      <c r="G625" s="88"/>
      <c r="H625" s="88"/>
    </row>
    <row r="626" spans="1:28" x14ac:dyDescent="0.2">
      <c r="C626" s="23" t="s">
        <v>1143</v>
      </c>
      <c r="D626" s="88" t="s">
        <v>443</v>
      </c>
      <c r="E626" s="88"/>
      <c r="F626" s="88"/>
      <c r="G626" s="88"/>
      <c r="H626" s="88"/>
    </row>
    <row r="627" spans="1:28" x14ac:dyDescent="0.2">
      <c r="C627" s="23" t="s">
        <v>1144</v>
      </c>
      <c r="D627" s="88" t="s">
        <v>443</v>
      </c>
      <c r="E627" s="88"/>
      <c r="F627" s="88"/>
      <c r="G627" s="88"/>
      <c r="H627" s="88"/>
    </row>
    <row r="628" spans="1:28" x14ac:dyDescent="0.2">
      <c r="C628" s="9" t="s">
        <v>1134</v>
      </c>
      <c r="D628" s="34"/>
      <c r="E628" s="34"/>
      <c r="F628" s="34">
        <f>Source!BZ189</f>
        <v>95</v>
      </c>
      <c r="G628" s="57">
        <f>(Source!AF189+Source!AE189)*Source!FX189/100</f>
        <v>68.276499999999984</v>
      </c>
      <c r="H628" s="57">
        <f>Source!X189</f>
        <v>91.63</v>
      </c>
    </row>
    <row r="629" spans="1:28" x14ac:dyDescent="0.2">
      <c r="C629" s="9" t="s">
        <v>1136</v>
      </c>
      <c r="D629" s="34"/>
      <c r="E629" s="34"/>
      <c r="F629" s="34">
        <f>Source!CA189</f>
        <v>65</v>
      </c>
      <c r="G629" s="57">
        <f>(Source!AF189+Source!AE189)*Source!FY189/100</f>
        <v>46.715499999999992</v>
      </c>
      <c r="H629" s="57">
        <f>Source!Y189</f>
        <v>62.69</v>
      </c>
    </row>
    <row r="630" spans="1:28" x14ac:dyDescent="0.2">
      <c r="C630" s="9" t="s">
        <v>1138</v>
      </c>
      <c r="D630" s="34"/>
      <c r="E630" s="34"/>
      <c r="F630" s="34"/>
      <c r="G630" s="57">
        <f>((Source!AF189+Source!AE189)*Source!FX189/100)+((Source!AF189+Source!AE189)*Source!FY189/100)+Source!AB189</f>
        <v>215.03199999999998</v>
      </c>
      <c r="H630" s="57">
        <f>Source!O189+Source!X189+Source!Y189</f>
        <v>288.58</v>
      </c>
    </row>
    <row r="631" spans="1:28" ht="85.5" x14ac:dyDescent="0.2">
      <c r="A631" s="46">
        <v>94</v>
      </c>
      <c r="B631" s="46" t="str">
        <f>Source!E190</f>
        <v>39,1</v>
      </c>
      <c r="C631" s="46" t="str">
        <f>Source!G190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631" s="46" t="str">
        <f>Source!F190</f>
        <v>21.1.06.09-0152</v>
      </c>
      <c r="E631" s="31" t="str">
        <f>Source!H190</f>
        <v>1000 м</v>
      </c>
      <c r="F631" s="12">
        <f>Source!I190</f>
        <v>0.02</v>
      </c>
      <c r="G631" s="22">
        <f>Source!AB190</f>
        <v>6920.41</v>
      </c>
      <c r="H631" s="22">
        <f>Source!O190</f>
        <v>928.72</v>
      </c>
      <c r="T631">
        <f>Source!O190+Source!X190+Source!Y190</f>
        <v>928.72</v>
      </c>
      <c r="U631">
        <f>Source!P190</f>
        <v>928.72</v>
      </c>
      <c r="V631">
        <f>Source!S190</f>
        <v>0</v>
      </c>
      <c r="W631">
        <f>Source!Q190</f>
        <v>0</v>
      </c>
      <c r="X631">
        <f>Source!R190</f>
        <v>0</v>
      </c>
      <c r="Y631">
        <f>Source!U190</f>
        <v>0</v>
      </c>
      <c r="Z631">
        <f>Source!V190</f>
        <v>0</v>
      </c>
      <c r="AA631">
        <f>Source!X190</f>
        <v>0</v>
      </c>
      <c r="AB631">
        <f>Source!Y190</f>
        <v>0</v>
      </c>
    </row>
    <row r="632" spans="1:28" ht="14.25" x14ac:dyDescent="0.2">
      <c r="C632" s="23" t="s">
        <v>1132</v>
      </c>
      <c r="D632" s="23">
        <f>Source!BC190</f>
        <v>6.71</v>
      </c>
      <c r="F632" s="12"/>
      <c r="G632" s="12"/>
      <c r="H632" s="12"/>
    </row>
    <row r="633" spans="1:28" ht="28.5" x14ac:dyDescent="0.2">
      <c r="A633" s="46">
        <v>95</v>
      </c>
      <c r="B633" s="46" t="str">
        <f>Source!E191</f>
        <v>40</v>
      </c>
      <c r="C633" s="46" t="str">
        <f>Source!G191</f>
        <v>Короба пластмассовые шириной до 120 мм</v>
      </c>
      <c r="D633" s="46" t="str">
        <f>Source!F191</f>
        <v>м08-02-390-03</v>
      </c>
      <c r="E633" s="31" t="str">
        <f>Source!H191</f>
        <v>100 м</v>
      </c>
      <c r="F633" s="12">
        <f>Source!I191</f>
        <v>2.78</v>
      </c>
      <c r="G633" s="22">
        <f>Source!AB191</f>
        <v>325.64999999999998</v>
      </c>
      <c r="H633" s="22">
        <f>Source!O191</f>
        <v>6074.61</v>
      </c>
      <c r="T633">
        <f>Source!O191+Source!X191+Source!Y191</f>
        <v>13004.279999999999</v>
      </c>
      <c r="U633">
        <f>Source!P191</f>
        <v>1739.84</v>
      </c>
      <c r="V633">
        <f>Source!S191</f>
        <v>4327.87</v>
      </c>
      <c r="W633">
        <f>Source!Q191</f>
        <v>6.9</v>
      </c>
      <c r="X633">
        <f>Source!R191</f>
        <v>3.17</v>
      </c>
      <c r="Y633">
        <f>Source!U191</f>
        <v>67.820879999999988</v>
      </c>
      <c r="Z633">
        <f>Source!V191</f>
        <v>3.3360000000000001E-2</v>
      </c>
      <c r="AA633">
        <f>Source!X191</f>
        <v>4114.49</v>
      </c>
      <c r="AB633">
        <f>Source!Y191</f>
        <v>2815.18</v>
      </c>
    </row>
    <row r="634" spans="1:28" ht="14.25" x14ac:dyDescent="0.2">
      <c r="C634" s="23" t="str">
        <f>"Объем: "&amp;Source!I191&amp;"=278/"&amp;"100"</f>
        <v>Объем: 2,78=278/100</v>
      </c>
      <c r="F634" s="12"/>
      <c r="G634" s="12"/>
      <c r="H634" s="12"/>
    </row>
    <row r="635" spans="1:28" x14ac:dyDescent="0.2">
      <c r="C635" s="23" t="s">
        <v>1130</v>
      </c>
      <c r="D635" s="23">
        <f>Source!BA191</f>
        <v>6.71</v>
      </c>
    </row>
    <row r="636" spans="1:28" x14ac:dyDescent="0.2">
      <c r="C636" s="23" t="s">
        <v>1131</v>
      </c>
      <c r="D636" s="23">
        <f>Source!BB191</f>
        <v>6.71</v>
      </c>
    </row>
    <row r="637" spans="1:28" x14ac:dyDescent="0.2">
      <c r="C637" s="23" t="s">
        <v>1132</v>
      </c>
      <c r="D637" s="23">
        <f>Source!BC191</f>
        <v>6.71</v>
      </c>
    </row>
    <row r="638" spans="1:28" x14ac:dyDescent="0.2">
      <c r="C638" s="23" t="s">
        <v>1133</v>
      </c>
      <c r="D638" s="23">
        <f>Source!BS191</f>
        <v>6.71</v>
      </c>
    </row>
    <row r="639" spans="1:28" x14ac:dyDescent="0.2">
      <c r="C639" s="23" t="s">
        <v>1140</v>
      </c>
      <c r="D639" s="88" t="s">
        <v>443</v>
      </c>
      <c r="E639" s="88"/>
      <c r="F639" s="88"/>
      <c r="G639" s="88"/>
      <c r="H639" s="88"/>
    </row>
    <row r="640" spans="1:28" x14ac:dyDescent="0.2">
      <c r="C640" s="23" t="s">
        <v>1141</v>
      </c>
      <c r="D640" s="88" t="s">
        <v>443</v>
      </c>
      <c r="E640" s="88"/>
      <c r="F640" s="88"/>
      <c r="G640" s="88"/>
      <c r="H640" s="88"/>
    </row>
    <row r="641" spans="1:28" x14ac:dyDescent="0.2">
      <c r="C641" s="23" t="s">
        <v>1142</v>
      </c>
      <c r="D641" s="88" t="s">
        <v>443</v>
      </c>
      <c r="E641" s="88"/>
      <c r="F641" s="88"/>
      <c r="G641" s="88"/>
      <c r="H641" s="88"/>
    </row>
    <row r="642" spans="1:28" x14ac:dyDescent="0.2">
      <c r="C642" s="23" t="s">
        <v>1143</v>
      </c>
      <c r="D642" s="88" t="s">
        <v>443</v>
      </c>
      <c r="E642" s="88"/>
      <c r="F642" s="88"/>
      <c r="G642" s="88"/>
      <c r="H642" s="88"/>
    </row>
    <row r="643" spans="1:28" x14ac:dyDescent="0.2">
      <c r="C643" s="23" t="s">
        <v>1144</v>
      </c>
      <c r="D643" s="88" t="s">
        <v>443</v>
      </c>
      <c r="E643" s="88"/>
      <c r="F643" s="88"/>
      <c r="G643" s="88"/>
      <c r="H643" s="88"/>
    </row>
    <row r="644" spans="1:28" x14ac:dyDescent="0.2">
      <c r="C644" s="9" t="s">
        <v>1134</v>
      </c>
      <c r="D644" s="34"/>
      <c r="E644" s="34"/>
      <c r="F644" s="34">
        <f>Source!BZ191</f>
        <v>95</v>
      </c>
      <c r="G644" s="57">
        <f>(Source!AF191+Source!AE191)*Source!FX191/100</f>
        <v>220.571</v>
      </c>
      <c r="H644" s="57">
        <f>Source!X191</f>
        <v>4114.49</v>
      </c>
    </row>
    <row r="645" spans="1:28" x14ac:dyDescent="0.2">
      <c r="C645" s="9" t="s">
        <v>1136</v>
      </c>
      <c r="D645" s="34"/>
      <c r="E645" s="34"/>
      <c r="F645" s="34">
        <f>Source!CA191</f>
        <v>65</v>
      </c>
      <c r="G645" s="57">
        <f>(Source!AF191+Source!AE191)*Source!FY191/100</f>
        <v>150.917</v>
      </c>
      <c r="H645" s="57">
        <f>Source!Y191</f>
        <v>2815.18</v>
      </c>
    </row>
    <row r="646" spans="1:28" x14ac:dyDescent="0.2">
      <c r="C646" s="9" t="s">
        <v>1138</v>
      </c>
      <c r="D646" s="34"/>
      <c r="E646" s="34"/>
      <c r="F646" s="34"/>
      <c r="G646" s="57">
        <f>((Source!AF191+Source!AE191)*Source!FX191/100)+((Source!AF191+Source!AE191)*Source!FY191/100)+Source!AB191</f>
        <v>697.13799999999992</v>
      </c>
      <c r="H646" s="57">
        <f>Source!O191+Source!X191+Source!Y191</f>
        <v>13004.279999999999</v>
      </c>
    </row>
    <row r="647" spans="1:28" ht="28.5" x14ac:dyDescent="0.2">
      <c r="A647" s="46">
        <v>96</v>
      </c>
      <c r="B647" s="46" t="str">
        <f>Source!E192</f>
        <v>40,1</v>
      </c>
      <c r="C647" s="46" t="str">
        <f>Source!G192</f>
        <v>Кабель-канал (короб) "Legrand" 40х100 мм</v>
      </c>
      <c r="D647" s="46" t="str">
        <f>Source!F192</f>
        <v>20.2.05.04-0014</v>
      </c>
      <c r="E647" s="31" t="str">
        <f>Source!H192</f>
        <v>100 м</v>
      </c>
      <c r="F647" s="12">
        <f>Source!I192</f>
        <v>2.78</v>
      </c>
      <c r="G647" s="22">
        <f>Source!AB192</f>
        <v>7153.01</v>
      </c>
      <c r="H647" s="22">
        <f>Source!O192</f>
        <v>133430.82</v>
      </c>
      <c r="T647">
        <f>Source!O192+Source!X192+Source!Y192</f>
        <v>133430.82</v>
      </c>
      <c r="U647">
        <f>Source!P192</f>
        <v>133430.82</v>
      </c>
      <c r="V647">
        <f>Source!S192</f>
        <v>0</v>
      </c>
      <c r="W647">
        <f>Source!Q192</f>
        <v>0</v>
      </c>
      <c r="X647">
        <f>Source!R192</f>
        <v>0</v>
      </c>
      <c r="Y647">
        <f>Source!U192</f>
        <v>0</v>
      </c>
      <c r="Z647">
        <f>Source!V192</f>
        <v>0</v>
      </c>
      <c r="AA647">
        <f>Source!X192</f>
        <v>0</v>
      </c>
      <c r="AB647">
        <f>Source!Y192</f>
        <v>0</v>
      </c>
    </row>
    <row r="648" spans="1:28" ht="14.25" x14ac:dyDescent="0.2">
      <c r="C648" s="23" t="s">
        <v>1132</v>
      </c>
      <c r="D648" s="23">
        <f>Source!BC192</f>
        <v>6.71</v>
      </c>
      <c r="F648" s="12"/>
      <c r="G648" s="12"/>
      <c r="H648" s="12"/>
    </row>
    <row r="649" spans="1:28" ht="28.5" x14ac:dyDescent="0.2">
      <c r="A649" s="46">
        <v>97</v>
      </c>
      <c r="B649" s="46" t="str">
        <f>Source!E193</f>
        <v>41</v>
      </c>
      <c r="C649" s="46" t="str">
        <f>Source!G193</f>
        <v>Короба пластмассовые шириной до 40 мм</v>
      </c>
      <c r="D649" s="46" t="str">
        <f>Source!F193</f>
        <v>м08-02-390-01</v>
      </c>
      <c r="E649" s="31" t="str">
        <f>Source!H193</f>
        <v>100 м</v>
      </c>
      <c r="F649" s="12">
        <f>Source!I193</f>
        <v>1.49</v>
      </c>
      <c r="G649" s="22">
        <f>Source!AB193</f>
        <v>237.8</v>
      </c>
      <c r="H649" s="22">
        <f>Source!O193</f>
        <v>2377.5</v>
      </c>
      <c r="T649">
        <f>Source!O193+Source!X193+Source!Y193</f>
        <v>5353.99</v>
      </c>
      <c r="U649">
        <f>Source!P193</f>
        <v>515.19000000000005</v>
      </c>
      <c r="V649">
        <f>Source!S193</f>
        <v>1858.61</v>
      </c>
      <c r="W649">
        <f>Source!Q193</f>
        <v>3.7</v>
      </c>
      <c r="X649">
        <f>Source!R193</f>
        <v>1.7</v>
      </c>
      <c r="Y649">
        <f>Source!U193</f>
        <v>29.126519999999996</v>
      </c>
      <c r="Z649">
        <f>Source!V193</f>
        <v>1.788E-2</v>
      </c>
      <c r="AA649">
        <f>Source!X193</f>
        <v>1767.29</v>
      </c>
      <c r="AB649">
        <f>Source!Y193</f>
        <v>1209.2</v>
      </c>
    </row>
    <row r="650" spans="1:28" ht="14.25" x14ac:dyDescent="0.2">
      <c r="C650" s="23" t="str">
        <f>"Объем: "&amp;Source!I193&amp;"=149/"&amp;"100"</f>
        <v>Объем: 1,49=149/100</v>
      </c>
      <c r="F650" s="12"/>
      <c r="G650" s="12"/>
      <c r="H650" s="12"/>
    </row>
    <row r="651" spans="1:28" x14ac:dyDescent="0.2">
      <c r="C651" s="23" t="s">
        <v>1130</v>
      </c>
      <c r="D651" s="23">
        <f>Source!BA193</f>
        <v>6.71</v>
      </c>
    </row>
    <row r="652" spans="1:28" x14ac:dyDescent="0.2">
      <c r="C652" s="23" t="s">
        <v>1131</v>
      </c>
      <c r="D652" s="23">
        <f>Source!BB193</f>
        <v>6.71</v>
      </c>
    </row>
    <row r="653" spans="1:28" x14ac:dyDescent="0.2">
      <c r="C653" s="23" t="s">
        <v>1132</v>
      </c>
      <c r="D653" s="23">
        <f>Source!BC193</f>
        <v>6.71</v>
      </c>
    </row>
    <row r="654" spans="1:28" x14ac:dyDescent="0.2">
      <c r="C654" s="23" t="s">
        <v>1133</v>
      </c>
      <c r="D654" s="23">
        <f>Source!BS193</f>
        <v>6.71</v>
      </c>
    </row>
    <row r="655" spans="1:28" x14ac:dyDescent="0.2">
      <c r="C655" s="23" t="s">
        <v>1140</v>
      </c>
      <c r="D655" s="88" t="s">
        <v>443</v>
      </c>
      <c r="E655" s="88"/>
      <c r="F655" s="88"/>
      <c r="G655" s="88"/>
      <c r="H655" s="88"/>
    </row>
    <row r="656" spans="1:28" x14ac:dyDescent="0.2">
      <c r="C656" s="23" t="s">
        <v>1141</v>
      </c>
      <c r="D656" s="88" t="s">
        <v>443</v>
      </c>
      <c r="E656" s="88"/>
      <c r="F656" s="88"/>
      <c r="G656" s="88"/>
      <c r="H656" s="88"/>
    </row>
    <row r="657" spans="1:28" x14ac:dyDescent="0.2">
      <c r="C657" s="23" t="s">
        <v>1142</v>
      </c>
      <c r="D657" s="88" t="s">
        <v>443</v>
      </c>
      <c r="E657" s="88"/>
      <c r="F657" s="88"/>
      <c r="G657" s="88"/>
      <c r="H657" s="88"/>
    </row>
    <row r="658" spans="1:28" x14ac:dyDescent="0.2">
      <c r="C658" s="23" t="s">
        <v>1143</v>
      </c>
      <c r="D658" s="88" t="s">
        <v>443</v>
      </c>
      <c r="E658" s="88"/>
      <c r="F658" s="88"/>
      <c r="G658" s="88"/>
      <c r="H658" s="88"/>
    </row>
    <row r="659" spans="1:28" x14ac:dyDescent="0.2">
      <c r="C659" s="23" t="s">
        <v>1144</v>
      </c>
      <c r="D659" s="88" t="s">
        <v>443</v>
      </c>
      <c r="E659" s="88"/>
      <c r="F659" s="88"/>
      <c r="G659" s="88"/>
      <c r="H659" s="88"/>
    </row>
    <row r="660" spans="1:28" x14ac:dyDescent="0.2">
      <c r="C660" s="9" t="s">
        <v>1134</v>
      </c>
      <c r="D660" s="34"/>
      <c r="E660" s="34"/>
      <c r="F660" s="34">
        <f>Source!BZ193</f>
        <v>95</v>
      </c>
      <c r="G660" s="57">
        <f>(Source!AF193+Source!AE193)*Source!FX193/100</f>
        <v>176.76649999999998</v>
      </c>
      <c r="H660" s="57">
        <f>Source!X193</f>
        <v>1767.29</v>
      </c>
    </row>
    <row r="661" spans="1:28" x14ac:dyDescent="0.2">
      <c r="C661" s="9" t="s">
        <v>1136</v>
      </c>
      <c r="D661" s="34"/>
      <c r="E661" s="34"/>
      <c r="F661" s="34">
        <f>Source!CA193</f>
        <v>65</v>
      </c>
      <c r="G661" s="57">
        <f>(Source!AF193+Source!AE193)*Source!FY193/100</f>
        <v>120.9455</v>
      </c>
      <c r="H661" s="57">
        <f>Source!Y193</f>
        <v>1209.2</v>
      </c>
    </row>
    <row r="662" spans="1:28" x14ac:dyDescent="0.2">
      <c r="C662" s="9" t="s">
        <v>1138</v>
      </c>
      <c r="D662" s="34"/>
      <c r="E662" s="34"/>
      <c r="F662" s="34"/>
      <c r="G662" s="57">
        <f>((Source!AF193+Source!AE193)*Source!FX193/100)+((Source!AF193+Source!AE193)*Source!FY193/100)+Source!AB193</f>
        <v>535.51199999999994</v>
      </c>
      <c r="H662" s="57">
        <f>Source!O193+Source!X193+Source!Y193</f>
        <v>5353.99</v>
      </c>
    </row>
    <row r="663" spans="1:28" ht="28.5" x14ac:dyDescent="0.2">
      <c r="A663" s="46">
        <v>98</v>
      </c>
      <c r="B663" s="46" t="str">
        <f>Source!E194</f>
        <v>41,1</v>
      </c>
      <c r="C663" s="46" t="str">
        <f>Source!G194</f>
        <v>Кабель-канал (короб) "Legrand" 20х10 мм прим.</v>
      </c>
      <c r="D663" s="46" t="str">
        <f>Source!F194</f>
        <v>20.2.05.04-0011</v>
      </c>
      <c r="E663" s="31" t="str">
        <f>Source!H194</f>
        <v>100 м</v>
      </c>
      <c r="F663" s="12">
        <f>Source!I194</f>
        <v>1.49</v>
      </c>
      <c r="G663" s="22">
        <f>Source!AB194</f>
        <v>715</v>
      </c>
      <c r="H663" s="22">
        <f>Source!O194</f>
        <v>7148.5</v>
      </c>
      <c r="T663">
        <f>Source!O194+Source!X194+Source!Y194</f>
        <v>7148.5</v>
      </c>
      <c r="U663">
        <f>Source!P194</f>
        <v>7148.5</v>
      </c>
      <c r="V663">
        <f>Source!S194</f>
        <v>0</v>
      </c>
      <c r="W663">
        <f>Source!Q194</f>
        <v>0</v>
      </c>
      <c r="X663">
        <f>Source!R194</f>
        <v>0</v>
      </c>
      <c r="Y663">
        <f>Source!U194</f>
        <v>0</v>
      </c>
      <c r="Z663">
        <f>Source!V194</f>
        <v>0</v>
      </c>
      <c r="AA663">
        <f>Source!X194</f>
        <v>0</v>
      </c>
      <c r="AB663">
        <f>Source!Y194</f>
        <v>0</v>
      </c>
    </row>
    <row r="664" spans="1:28" ht="14.25" x14ac:dyDescent="0.2">
      <c r="C664" s="23" t="s">
        <v>1132</v>
      </c>
      <c r="D664" s="23">
        <f>Source!BC194</f>
        <v>6.71</v>
      </c>
      <c r="F664" s="12"/>
      <c r="G664" s="12"/>
      <c r="H664" s="12"/>
    </row>
    <row r="665" spans="1:28" ht="28.5" x14ac:dyDescent="0.2">
      <c r="A665" s="46">
        <v>99</v>
      </c>
      <c r="B665" s="46" t="str">
        <f>Source!E195</f>
        <v>42</v>
      </c>
      <c r="C665" s="46" t="str">
        <f>Source!G195</f>
        <v>Провод в коробах, сечением до 35 мм2</v>
      </c>
      <c r="D665" s="46" t="str">
        <f>Source!F195</f>
        <v>м08-02-399-02</v>
      </c>
      <c r="E665" s="31" t="str">
        <f>Source!H195</f>
        <v>100 м</v>
      </c>
      <c r="F665" s="12">
        <f>Source!I195</f>
        <v>2.78</v>
      </c>
      <c r="G665" s="22">
        <f>Source!AB195</f>
        <v>58.14</v>
      </c>
      <c r="H665" s="22">
        <f>Source!O195</f>
        <v>1084.53</v>
      </c>
      <c r="T665">
        <f>Source!O195+Source!X195+Source!Y195</f>
        <v>2359.56</v>
      </c>
      <c r="U665">
        <f>Source!P195</f>
        <v>253.69</v>
      </c>
      <c r="V665">
        <f>Source!S195</f>
        <v>791.11</v>
      </c>
      <c r="W665">
        <f>Source!Q195</f>
        <v>39.729999999999997</v>
      </c>
      <c r="X665">
        <f>Source!R195</f>
        <v>5.78</v>
      </c>
      <c r="Y665">
        <f>Source!U195</f>
        <v>12.543359999999998</v>
      </c>
      <c r="Z665">
        <f>Source!V195</f>
        <v>6.6720000000000002E-2</v>
      </c>
      <c r="AA665">
        <f>Source!X195</f>
        <v>757.05</v>
      </c>
      <c r="AB665">
        <f>Source!Y195</f>
        <v>517.98</v>
      </c>
    </row>
    <row r="666" spans="1:28" ht="14.25" x14ac:dyDescent="0.2">
      <c r="C666" s="23" t="str">
        <f>"Объем: "&amp;Source!I195&amp;"=278/"&amp;"100"</f>
        <v>Объем: 2,78=278/100</v>
      </c>
      <c r="F666" s="12"/>
      <c r="G666" s="12"/>
      <c r="H666" s="12"/>
    </row>
    <row r="667" spans="1:28" x14ac:dyDescent="0.2">
      <c r="C667" s="23" t="s">
        <v>1130</v>
      </c>
      <c r="D667" s="23">
        <f>Source!BA195</f>
        <v>6.71</v>
      </c>
    </row>
    <row r="668" spans="1:28" x14ac:dyDescent="0.2">
      <c r="C668" s="23" t="s">
        <v>1131</v>
      </c>
      <c r="D668" s="23">
        <f>Source!BB195</f>
        <v>6.71</v>
      </c>
    </row>
    <row r="669" spans="1:28" x14ac:dyDescent="0.2">
      <c r="C669" s="23" t="s">
        <v>1132</v>
      </c>
      <c r="D669" s="23">
        <f>Source!BC195</f>
        <v>6.71</v>
      </c>
    </row>
    <row r="670" spans="1:28" x14ac:dyDescent="0.2">
      <c r="C670" s="23" t="s">
        <v>1133</v>
      </c>
      <c r="D670" s="23">
        <f>Source!BS195</f>
        <v>6.71</v>
      </c>
    </row>
    <row r="671" spans="1:28" x14ac:dyDescent="0.2">
      <c r="C671" s="23" t="s">
        <v>1140</v>
      </c>
      <c r="D671" s="88" t="s">
        <v>443</v>
      </c>
      <c r="E671" s="88"/>
      <c r="F671" s="88"/>
      <c r="G671" s="88"/>
      <c r="H671" s="88"/>
    </row>
    <row r="672" spans="1:28" x14ac:dyDescent="0.2">
      <c r="C672" s="23" t="s">
        <v>1141</v>
      </c>
      <c r="D672" s="88" t="s">
        <v>443</v>
      </c>
      <c r="E672" s="88"/>
      <c r="F672" s="88"/>
      <c r="G672" s="88"/>
      <c r="H672" s="88"/>
    </row>
    <row r="673" spans="1:28" x14ac:dyDescent="0.2">
      <c r="C673" s="23" t="s">
        <v>1142</v>
      </c>
      <c r="D673" s="88" t="s">
        <v>443</v>
      </c>
      <c r="E673" s="88"/>
      <c r="F673" s="88"/>
      <c r="G673" s="88"/>
      <c r="H673" s="88"/>
    </row>
    <row r="674" spans="1:28" x14ac:dyDescent="0.2">
      <c r="C674" s="23" t="s">
        <v>1143</v>
      </c>
      <c r="D674" s="88" t="s">
        <v>443</v>
      </c>
      <c r="E674" s="88"/>
      <c r="F674" s="88"/>
      <c r="G674" s="88"/>
      <c r="H674" s="88"/>
    </row>
    <row r="675" spans="1:28" x14ac:dyDescent="0.2">
      <c r="C675" s="23" t="s">
        <v>1144</v>
      </c>
      <c r="D675" s="88" t="s">
        <v>443</v>
      </c>
      <c r="E675" s="88"/>
      <c r="F675" s="88"/>
      <c r="G675" s="88"/>
      <c r="H675" s="88"/>
    </row>
    <row r="676" spans="1:28" x14ac:dyDescent="0.2">
      <c r="C676" s="9" t="s">
        <v>1134</v>
      </c>
      <c r="D676" s="34"/>
      <c r="E676" s="34"/>
      <c r="F676" s="34">
        <f>Source!BZ195</f>
        <v>95</v>
      </c>
      <c r="G676" s="57">
        <f>(Source!AF195+Source!AE195)*Source!FX195/100</f>
        <v>40.584000000000003</v>
      </c>
      <c r="H676" s="57">
        <f>Source!X195</f>
        <v>757.05</v>
      </c>
    </row>
    <row r="677" spans="1:28" x14ac:dyDescent="0.2">
      <c r="C677" s="9" t="s">
        <v>1136</v>
      </c>
      <c r="D677" s="34"/>
      <c r="E677" s="34"/>
      <c r="F677" s="34">
        <f>Source!CA195</f>
        <v>65</v>
      </c>
      <c r="G677" s="57">
        <f>(Source!AF195+Source!AE195)*Source!FY195/100</f>
        <v>27.767999999999997</v>
      </c>
      <c r="H677" s="57">
        <f>Source!Y195</f>
        <v>517.98</v>
      </c>
    </row>
    <row r="678" spans="1:28" x14ac:dyDescent="0.2">
      <c r="C678" s="9" t="s">
        <v>1138</v>
      </c>
      <c r="D678" s="34"/>
      <c r="E678" s="34"/>
      <c r="F678" s="34"/>
      <c r="G678" s="57">
        <f>((Source!AF195+Source!AE195)*Source!FX195/100)+((Source!AF195+Source!AE195)*Source!FY195/100)+Source!AB195</f>
        <v>126.492</v>
      </c>
      <c r="H678" s="57">
        <f>Source!O195+Source!X195+Source!Y195</f>
        <v>2359.56</v>
      </c>
    </row>
    <row r="679" spans="1:28" ht="85.5" x14ac:dyDescent="0.2">
      <c r="A679" s="46">
        <v>100</v>
      </c>
      <c r="B679" s="46" t="str">
        <f>Source!E196</f>
        <v>42,1</v>
      </c>
      <c r="C679" s="46" t="str">
        <f>Source!G196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679" s="46" t="str">
        <f>Source!F196</f>
        <v>21.1.06.09-0152</v>
      </c>
      <c r="E679" s="31" t="str">
        <f>Source!H196</f>
        <v>1000 м</v>
      </c>
      <c r="F679" s="12">
        <f>Source!I196</f>
        <v>0.27800000000000002</v>
      </c>
      <c r="G679" s="22">
        <f>Source!AB196</f>
        <v>6920.41</v>
      </c>
      <c r="H679" s="22">
        <f>Source!O196</f>
        <v>12909.19</v>
      </c>
      <c r="T679">
        <f>Source!O196+Source!X196+Source!Y196</f>
        <v>12909.19</v>
      </c>
      <c r="U679">
        <f>Source!P196</f>
        <v>12909.19</v>
      </c>
      <c r="V679">
        <f>Source!S196</f>
        <v>0</v>
      </c>
      <c r="W679">
        <f>Source!Q196</f>
        <v>0</v>
      </c>
      <c r="X679">
        <f>Source!R196</f>
        <v>0</v>
      </c>
      <c r="Y679">
        <f>Source!U196</f>
        <v>0</v>
      </c>
      <c r="Z679">
        <f>Source!V196</f>
        <v>0</v>
      </c>
      <c r="AA679">
        <f>Source!X196</f>
        <v>0</v>
      </c>
      <c r="AB679">
        <f>Source!Y196</f>
        <v>0</v>
      </c>
    </row>
    <row r="680" spans="1:28" ht="14.25" x14ac:dyDescent="0.2">
      <c r="C680" s="23" t="s">
        <v>1132</v>
      </c>
      <c r="D680" s="23">
        <f>Source!BC196</f>
        <v>6.71</v>
      </c>
      <c r="F680" s="12"/>
      <c r="G680" s="12"/>
      <c r="H680" s="12"/>
    </row>
    <row r="681" spans="1:28" ht="28.5" x14ac:dyDescent="0.2">
      <c r="A681" s="46">
        <v>101</v>
      </c>
      <c r="B681" s="46" t="str">
        <f>Source!E197</f>
        <v>43</v>
      </c>
      <c r="C681" s="46" t="str">
        <f>Source!G197</f>
        <v>Провод в коробах, сечением до 6 мм2</v>
      </c>
      <c r="D681" s="46" t="str">
        <f>Source!F197</f>
        <v>м08-02-399-01</v>
      </c>
      <c r="E681" s="31" t="str">
        <f>Source!H197</f>
        <v>100 м</v>
      </c>
      <c r="F681" s="12">
        <f>Source!I197</f>
        <v>1.49</v>
      </c>
      <c r="G681" s="22">
        <f>Source!AB197</f>
        <v>46.76</v>
      </c>
      <c r="H681" s="22">
        <f>Source!O197</f>
        <v>467.5</v>
      </c>
      <c r="T681">
        <f>Source!O197+Source!X197+Source!Y197</f>
        <v>981.3</v>
      </c>
      <c r="U681">
        <f>Source!P197</f>
        <v>128.16999999999999</v>
      </c>
      <c r="V681">
        <f>Source!S197</f>
        <v>318.02999999999997</v>
      </c>
      <c r="W681">
        <f>Source!Q197</f>
        <v>21.3</v>
      </c>
      <c r="X681">
        <f>Source!R197</f>
        <v>3.1</v>
      </c>
      <c r="Y681">
        <f>Source!U197</f>
        <v>5.04216</v>
      </c>
      <c r="Z681">
        <f>Source!V197</f>
        <v>3.576E-2</v>
      </c>
      <c r="AA681">
        <f>Source!X197</f>
        <v>305.07</v>
      </c>
      <c r="AB681">
        <f>Source!Y197</f>
        <v>208.73</v>
      </c>
    </row>
    <row r="682" spans="1:28" ht="14.25" x14ac:dyDescent="0.2">
      <c r="C682" s="23" t="str">
        <f>"Объем: "&amp;Source!I197&amp;"=149/"&amp;"100"</f>
        <v>Объем: 1,49=149/100</v>
      </c>
      <c r="F682" s="12"/>
      <c r="G682" s="12"/>
      <c r="H682" s="12"/>
    </row>
    <row r="683" spans="1:28" x14ac:dyDescent="0.2">
      <c r="C683" s="23" t="s">
        <v>1130</v>
      </c>
      <c r="D683" s="23">
        <f>Source!BA197</f>
        <v>6.71</v>
      </c>
    </row>
    <row r="684" spans="1:28" x14ac:dyDescent="0.2">
      <c r="C684" s="23" t="s">
        <v>1131</v>
      </c>
      <c r="D684" s="23">
        <f>Source!BB197</f>
        <v>6.71</v>
      </c>
    </row>
    <row r="685" spans="1:28" x14ac:dyDescent="0.2">
      <c r="C685" s="23" t="s">
        <v>1132</v>
      </c>
      <c r="D685" s="23">
        <f>Source!BC197</f>
        <v>6.71</v>
      </c>
    </row>
    <row r="686" spans="1:28" x14ac:dyDescent="0.2">
      <c r="C686" s="23" t="s">
        <v>1133</v>
      </c>
      <c r="D686" s="23">
        <f>Source!BS197</f>
        <v>6.71</v>
      </c>
    </row>
    <row r="687" spans="1:28" x14ac:dyDescent="0.2">
      <c r="C687" s="23" t="s">
        <v>1140</v>
      </c>
      <c r="D687" s="88" t="s">
        <v>443</v>
      </c>
      <c r="E687" s="88"/>
      <c r="F687" s="88"/>
      <c r="G687" s="88"/>
      <c r="H687" s="88"/>
    </row>
    <row r="688" spans="1:28" x14ac:dyDescent="0.2">
      <c r="C688" s="23" t="s">
        <v>1141</v>
      </c>
      <c r="D688" s="88" t="s">
        <v>443</v>
      </c>
      <c r="E688" s="88"/>
      <c r="F688" s="88"/>
      <c r="G688" s="88"/>
      <c r="H688" s="88"/>
    </row>
    <row r="689" spans="1:28" x14ac:dyDescent="0.2">
      <c r="C689" s="23" t="s">
        <v>1142</v>
      </c>
      <c r="D689" s="88" t="s">
        <v>443</v>
      </c>
      <c r="E689" s="88"/>
      <c r="F689" s="88"/>
      <c r="G689" s="88"/>
      <c r="H689" s="88"/>
    </row>
    <row r="690" spans="1:28" x14ac:dyDescent="0.2">
      <c r="C690" s="23" t="s">
        <v>1143</v>
      </c>
      <c r="D690" s="88" t="s">
        <v>443</v>
      </c>
      <c r="E690" s="88"/>
      <c r="F690" s="88"/>
      <c r="G690" s="88"/>
      <c r="H690" s="88"/>
    </row>
    <row r="691" spans="1:28" x14ac:dyDescent="0.2">
      <c r="C691" s="23" t="s">
        <v>1144</v>
      </c>
      <c r="D691" s="88" t="s">
        <v>443</v>
      </c>
      <c r="E691" s="88"/>
      <c r="F691" s="88"/>
      <c r="G691" s="88"/>
      <c r="H691" s="88"/>
    </row>
    <row r="692" spans="1:28" x14ac:dyDescent="0.2">
      <c r="C692" s="9" t="s">
        <v>1134</v>
      </c>
      <c r="D692" s="34"/>
      <c r="E692" s="34"/>
      <c r="F692" s="34">
        <f>Source!BZ197</f>
        <v>95</v>
      </c>
      <c r="G692" s="57">
        <f>(Source!AF197+Source!AE197)*Source!FX197/100</f>
        <v>30.513999999999996</v>
      </c>
      <c r="H692" s="57">
        <f>Source!X197</f>
        <v>305.07</v>
      </c>
    </row>
    <row r="693" spans="1:28" x14ac:dyDescent="0.2">
      <c r="C693" s="9" t="s">
        <v>1136</v>
      </c>
      <c r="D693" s="34"/>
      <c r="E693" s="34"/>
      <c r="F693" s="34">
        <f>Source!CA197</f>
        <v>65</v>
      </c>
      <c r="G693" s="57">
        <f>(Source!AF197+Source!AE197)*Source!FY197/100</f>
        <v>20.877999999999997</v>
      </c>
      <c r="H693" s="57">
        <f>Source!Y197</f>
        <v>208.73</v>
      </c>
    </row>
    <row r="694" spans="1:28" x14ac:dyDescent="0.2">
      <c r="C694" s="9" t="s">
        <v>1138</v>
      </c>
      <c r="D694" s="34"/>
      <c r="E694" s="34"/>
      <c r="F694" s="34"/>
      <c r="G694" s="57">
        <f>((Source!AF197+Source!AE197)*Source!FX197/100)+((Source!AF197+Source!AE197)*Source!FY197/100)+Source!AB197</f>
        <v>98.151999999999987</v>
      </c>
      <c r="H694" s="57">
        <f>Source!O197+Source!X197+Source!Y197</f>
        <v>981.3</v>
      </c>
    </row>
    <row r="695" spans="1:28" ht="28.5" x14ac:dyDescent="0.2">
      <c r="A695" s="46">
        <v>102</v>
      </c>
      <c r="B695" s="46" t="str">
        <f>Source!E198</f>
        <v>43,1</v>
      </c>
      <c r="C695" s="46" t="str">
        <f>Source!G198</f>
        <v>Кабель (витая пара) UTP 4x2x0,52 категория 5е</v>
      </c>
      <c r="D695" s="46" t="str">
        <f>Source!F198</f>
        <v>21.1.04.01-0004</v>
      </c>
      <c r="E695" s="31" t="str">
        <f>Source!H198</f>
        <v>1000 м</v>
      </c>
      <c r="F695" s="12">
        <f>Source!I198</f>
        <v>0.14899999999999999</v>
      </c>
      <c r="G695" s="22">
        <f>Source!AB198</f>
        <v>1150.19</v>
      </c>
      <c r="H695" s="22">
        <f>Source!O198</f>
        <v>1149.95</v>
      </c>
      <c r="T695">
        <f>Source!O198+Source!X198+Source!Y198</f>
        <v>1149.95</v>
      </c>
      <c r="U695">
        <f>Source!P198</f>
        <v>1149.95</v>
      </c>
      <c r="V695">
        <f>Source!S198</f>
        <v>0</v>
      </c>
      <c r="W695">
        <f>Source!Q198</f>
        <v>0</v>
      </c>
      <c r="X695">
        <f>Source!R198</f>
        <v>0</v>
      </c>
      <c r="Y695">
        <f>Source!U198</f>
        <v>0</v>
      </c>
      <c r="Z695">
        <f>Source!V198</f>
        <v>0</v>
      </c>
      <c r="AA695">
        <f>Source!X198</f>
        <v>0</v>
      </c>
      <c r="AB695">
        <f>Source!Y198</f>
        <v>0</v>
      </c>
    </row>
    <row r="696" spans="1:28" ht="14.25" x14ac:dyDescent="0.2">
      <c r="C696" s="23" t="s">
        <v>1132</v>
      </c>
      <c r="D696" s="23">
        <f>Source!BC198</f>
        <v>6.71</v>
      </c>
      <c r="F696" s="12"/>
      <c r="G696" s="12"/>
      <c r="H696" s="12"/>
    </row>
    <row r="697" spans="1:28" ht="28.5" x14ac:dyDescent="0.2">
      <c r="A697" s="46">
        <v>103</v>
      </c>
      <c r="B697" s="46" t="str">
        <f>Source!E199</f>
        <v>44</v>
      </c>
      <c r="C697" s="46" t="str">
        <f>Source!G199</f>
        <v>Розетка штепсельная неутопленного типа при открытой проводке</v>
      </c>
      <c r="D697" s="46" t="str">
        <f>Source!F199</f>
        <v>м08-03-591-08</v>
      </c>
      <c r="E697" s="31" t="str">
        <f>Source!H199</f>
        <v>100 ШТ</v>
      </c>
      <c r="F697" s="12">
        <f>Source!I199</f>
        <v>0.86</v>
      </c>
      <c r="G697" s="22">
        <f>Source!AB199</f>
        <v>523.44000000000005</v>
      </c>
      <c r="H697" s="22">
        <f>Source!O199</f>
        <v>3020.56</v>
      </c>
      <c r="T697">
        <f>Source!O199+Source!X199+Source!Y199</f>
        <v>6826.19</v>
      </c>
      <c r="U697">
        <f>Source!P199</f>
        <v>614.11</v>
      </c>
      <c r="V697">
        <f>Source!S199</f>
        <v>2374.08</v>
      </c>
      <c r="W697">
        <f>Source!Q199</f>
        <v>32.369999999999997</v>
      </c>
      <c r="X697">
        <f>Source!R199</f>
        <v>4.4400000000000004</v>
      </c>
      <c r="Y697">
        <f>Source!U199</f>
        <v>35.66592</v>
      </c>
      <c r="Z697">
        <f>Source!V199</f>
        <v>5.16E-2</v>
      </c>
      <c r="AA697">
        <f>Source!X199</f>
        <v>2259.59</v>
      </c>
      <c r="AB697">
        <f>Source!Y199</f>
        <v>1546.04</v>
      </c>
    </row>
    <row r="698" spans="1:28" ht="14.25" x14ac:dyDescent="0.2">
      <c r="C698" s="23" t="str">
        <f>"Объем: "&amp;Source!I199&amp;"=86/"&amp;"100"</f>
        <v>Объем: 0,86=86/100</v>
      </c>
      <c r="F698" s="12"/>
      <c r="G698" s="12"/>
      <c r="H698" s="12"/>
    </row>
    <row r="699" spans="1:28" x14ac:dyDescent="0.2">
      <c r="C699" s="23" t="s">
        <v>1130</v>
      </c>
      <c r="D699" s="23">
        <f>Source!BA199</f>
        <v>6.71</v>
      </c>
    </row>
    <row r="700" spans="1:28" x14ac:dyDescent="0.2">
      <c r="C700" s="23" t="s">
        <v>1131</v>
      </c>
      <c r="D700" s="23">
        <f>Source!BB199</f>
        <v>6.71</v>
      </c>
    </row>
    <row r="701" spans="1:28" x14ac:dyDescent="0.2">
      <c r="C701" s="23" t="s">
        <v>1132</v>
      </c>
      <c r="D701" s="23">
        <f>Source!BC199</f>
        <v>6.71</v>
      </c>
    </row>
    <row r="702" spans="1:28" x14ac:dyDescent="0.2">
      <c r="C702" s="23" t="s">
        <v>1133</v>
      </c>
      <c r="D702" s="23">
        <f>Source!BS199</f>
        <v>6.71</v>
      </c>
    </row>
    <row r="703" spans="1:28" x14ac:dyDescent="0.2">
      <c r="C703" s="23" t="s">
        <v>1140</v>
      </c>
      <c r="D703" s="88" t="s">
        <v>443</v>
      </c>
      <c r="E703" s="88"/>
      <c r="F703" s="88"/>
      <c r="G703" s="88"/>
      <c r="H703" s="88"/>
    </row>
    <row r="704" spans="1:28" x14ac:dyDescent="0.2">
      <c r="C704" s="23" t="s">
        <v>1141</v>
      </c>
      <c r="D704" s="88" t="s">
        <v>443</v>
      </c>
      <c r="E704" s="88"/>
      <c r="F704" s="88"/>
      <c r="G704" s="88"/>
      <c r="H704" s="88"/>
    </row>
    <row r="705" spans="1:28" x14ac:dyDescent="0.2">
      <c r="C705" s="23" t="s">
        <v>1142</v>
      </c>
      <c r="D705" s="88" t="s">
        <v>443</v>
      </c>
      <c r="E705" s="88"/>
      <c r="F705" s="88"/>
      <c r="G705" s="88"/>
      <c r="H705" s="88"/>
    </row>
    <row r="706" spans="1:28" x14ac:dyDescent="0.2">
      <c r="C706" s="23" t="s">
        <v>1143</v>
      </c>
      <c r="D706" s="88" t="s">
        <v>443</v>
      </c>
      <c r="E706" s="88"/>
      <c r="F706" s="88"/>
      <c r="G706" s="88"/>
      <c r="H706" s="88"/>
    </row>
    <row r="707" spans="1:28" x14ac:dyDescent="0.2">
      <c r="C707" s="23" t="s">
        <v>1144</v>
      </c>
      <c r="D707" s="88" t="s">
        <v>443</v>
      </c>
      <c r="E707" s="88"/>
      <c r="F707" s="88"/>
      <c r="G707" s="88"/>
      <c r="H707" s="88"/>
    </row>
    <row r="708" spans="1:28" x14ac:dyDescent="0.2">
      <c r="C708" s="9" t="s">
        <v>1134</v>
      </c>
      <c r="D708" s="34"/>
      <c r="E708" s="34"/>
      <c r="F708" s="34">
        <f>Source!BZ199</f>
        <v>95</v>
      </c>
      <c r="G708" s="57">
        <f>(Source!AF199+Source!AE199)*Source!FX199/100</f>
        <v>391.57099999999997</v>
      </c>
      <c r="H708" s="57">
        <f>Source!X199</f>
        <v>2259.59</v>
      </c>
    </row>
    <row r="709" spans="1:28" x14ac:dyDescent="0.2">
      <c r="C709" s="9" t="s">
        <v>1136</v>
      </c>
      <c r="D709" s="34"/>
      <c r="E709" s="34"/>
      <c r="F709" s="34">
        <f>Source!CA199</f>
        <v>65</v>
      </c>
      <c r="G709" s="57">
        <f>(Source!AF199+Source!AE199)*Source!FY199/100</f>
        <v>267.91700000000003</v>
      </c>
      <c r="H709" s="57">
        <f>Source!Y199</f>
        <v>1546.04</v>
      </c>
    </row>
    <row r="710" spans="1:28" x14ac:dyDescent="0.2">
      <c r="C710" s="9" t="s">
        <v>1138</v>
      </c>
      <c r="D710" s="34"/>
      <c r="E710" s="34"/>
      <c r="F710" s="34"/>
      <c r="G710" s="57">
        <f>((Source!AF199+Source!AE199)*Source!FX199/100)+((Source!AF199+Source!AE199)*Source!FY199/100)+Source!AB199</f>
        <v>1182.9280000000001</v>
      </c>
      <c r="H710" s="57">
        <f>Source!O199+Source!X199+Source!Y199</f>
        <v>6826.19</v>
      </c>
    </row>
    <row r="711" spans="1:28" ht="28.5" x14ac:dyDescent="0.2">
      <c r="A711" s="46">
        <v>104</v>
      </c>
      <c r="B711" s="46" t="str">
        <f>Source!E200</f>
        <v>44,1</v>
      </c>
      <c r="C711" s="46" t="str">
        <f>Source!G200</f>
        <v>Розетка кабельная трехфазная 3P+PE+N, 32А, 415В, IP44</v>
      </c>
      <c r="D711" s="46" t="str">
        <f>Source!F200</f>
        <v>20.4.03.04-0005</v>
      </c>
      <c r="E711" s="31" t="str">
        <f>Source!H200</f>
        <v>100 шт.</v>
      </c>
      <c r="F711" s="12">
        <f>Source!I200</f>
        <v>0.72</v>
      </c>
      <c r="G711" s="22">
        <f>Source!AB200</f>
        <v>7615</v>
      </c>
      <c r="H711" s="22">
        <f>Source!O200</f>
        <v>36789.589999999997</v>
      </c>
      <c r="T711">
        <f>Source!O200+Source!X200+Source!Y200</f>
        <v>36789.589999999997</v>
      </c>
      <c r="U711">
        <f>Source!P200</f>
        <v>36789.589999999997</v>
      </c>
      <c r="V711">
        <f>Source!S200</f>
        <v>0</v>
      </c>
      <c r="W711">
        <f>Source!Q200</f>
        <v>0</v>
      </c>
      <c r="X711">
        <f>Source!R200</f>
        <v>0</v>
      </c>
      <c r="Y711">
        <f>Source!U200</f>
        <v>0</v>
      </c>
      <c r="Z711">
        <f>Source!V200</f>
        <v>0</v>
      </c>
      <c r="AA711">
        <f>Source!X200</f>
        <v>0</v>
      </c>
      <c r="AB711">
        <f>Source!Y200</f>
        <v>0</v>
      </c>
    </row>
    <row r="712" spans="1:28" ht="14.25" x14ac:dyDescent="0.2">
      <c r="C712" s="23" t="s">
        <v>1132</v>
      </c>
      <c r="D712" s="23">
        <f>Source!BC200</f>
        <v>6.71</v>
      </c>
      <c r="F712" s="12"/>
      <c r="G712" s="12"/>
      <c r="H712" s="12"/>
    </row>
    <row r="713" spans="1:28" ht="28.5" x14ac:dyDescent="0.2">
      <c r="A713" s="46">
        <v>105</v>
      </c>
      <c r="B713" s="46" t="str">
        <f>Source!E201</f>
        <v>44,2</v>
      </c>
      <c r="C713" s="46" t="str">
        <f>Source!G201</f>
        <v>Розетка открытой проводки двухгнездная (UTP )</v>
      </c>
      <c r="D713" s="46" t="str">
        <f>Source!F201</f>
        <v>20.4.03.05-0002</v>
      </c>
      <c r="E713" s="31" t="str">
        <f>Source!H201</f>
        <v>100 шт.</v>
      </c>
      <c r="F713" s="12">
        <f>Source!I201</f>
        <v>0.14000000000000001</v>
      </c>
      <c r="G713" s="22">
        <f>Source!AB201</f>
        <v>702</v>
      </c>
      <c r="H713" s="22">
        <f>Source!O201</f>
        <v>659.46</v>
      </c>
      <c r="T713">
        <f>Source!O201+Source!X201+Source!Y201</f>
        <v>659.46</v>
      </c>
      <c r="U713">
        <f>Source!P201</f>
        <v>659.46</v>
      </c>
      <c r="V713">
        <f>Source!S201</f>
        <v>0</v>
      </c>
      <c r="W713">
        <f>Source!Q201</f>
        <v>0</v>
      </c>
      <c r="X713">
        <f>Source!R201</f>
        <v>0</v>
      </c>
      <c r="Y713">
        <f>Source!U201</f>
        <v>0</v>
      </c>
      <c r="Z713">
        <f>Source!V201</f>
        <v>0</v>
      </c>
      <c r="AA713">
        <f>Source!X201</f>
        <v>0</v>
      </c>
      <c r="AB713">
        <f>Source!Y201</f>
        <v>0</v>
      </c>
    </row>
    <row r="714" spans="1:28" ht="14.25" x14ac:dyDescent="0.2">
      <c r="C714" s="23" t="s">
        <v>1132</v>
      </c>
      <c r="D714" s="23">
        <f>Source!BC201</f>
        <v>6.71</v>
      </c>
      <c r="F714" s="12"/>
      <c r="G714" s="12"/>
      <c r="H714" s="12"/>
    </row>
    <row r="715" spans="1:28" ht="42.75" x14ac:dyDescent="0.2">
      <c r="A715" s="46">
        <v>106</v>
      </c>
      <c r="B715" s="46" t="str">
        <f>Source!E202</f>
        <v>45</v>
      </c>
      <c r="C715" s="46" t="str">
        <f>Source!G202</f>
        <v>Выключатель двухклавишный неутопленного типа при открытой проводке</v>
      </c>
      <c r="D715" s="46" t="str">
        <f>Source!F202</f>
        <v>м08-03-591-04</v>
      </c>
      <c r="E715" s="31" t="str">
        <f>Source!H202</f>
        <v>100 ШТ</v>
      </c>
      <c r="F715" s="12">
        <f>Source!I202</f>
        <v>0.08</v>
      </c>
      <c r="G715" s="22">
        <f>Source!AB202</f>
        <v>526.99</v>
      </c>
      <c r="H715" s="22">
        <f>Source!O202</f>
        <v>282.88</v>
      </c>
      <c r="T715">
        <f>Source!O202+Source!X202+Source!Y202</f>
        <v>642.71</v>
      </c>
      <c r="U715">
        <f>Source!P202</f>
        <v>55.39</v>
      </c>
      <c r="V715">
        <f>Source!S202</f>
        <v>224.48</v>
      </c>
      <c r="W715">
        <f>Source!Q202</f>
        <v>3.01</v>
      </c>
      <c r="X715">
        <f>Source!R202</f>
        <v>0.41</v>
      </c>
      <c r="Y715">
        <f>Source!U202</f>
        <v>3.3724799999999999</v>
      </c>
      <c r="Z715">
        <f>Source!V202</f>
        <v>4.7999999999999996E-3</v>
      </c>
      <c r="AA715">
        <f>Source!X202</f>
        <v>213.65</v>
      </c>
      <c r="AB715">
        <f>Source!Y202</f>
        <v>146.18</v>
      </c>
    </row>
    <row r="716" spans="1:28" ht="14.25" x14ac:dyDescent="0.2">
      <c r="C716" s="23" t="str">
        <f>"Объем: "&amp;Source!I202&amp;"=8/"&amp;"100"</f>
        <v>Объем: 0,08=8/100</v>
      </c>
      <c r="F716" s="12"/>
      <c r="G716" s="12"/>
      <c r="H716" s="12"/>
    </row>
    <row r="717" spans="1:28" x14ac:dyDescent="0.2">
      <c r="C717" s="23" t="s">
        <v>1130</v>
      </c>
      <c r="D717" s="23">
        <f>Source!BA202</f>
        <v>6.71</v>
      </c>
    </row>
    <row r="718" spans="1:28" x14ac:dyDescent="0.2">
      <c r="C718" s="23" t="s">
        <v>1131</v>
      </c>
      <c r="D718" s="23">
        <f>Source!BB202</f>
        <v>6.71</v>
      </c>
    </row>
    <row r="719" spans="1:28" x14ac:dyDescent="0.2">
      <c r="C719" s="23" t="s">
        <v>1132</v>
      </c>
      <c r="D719" s="23">
        <f>Source!BC202</f>
        <v>6.71</v>
      </c>
    </row>
    <row r="720" spans="1:28" x14ac:dyDescent="0.2">
      <c r="C720" s="23" t="s">
        <v>1133</v>
      </c>
      <c r="D720" s="23">
        <f>Source!BS202</f>
        <v>6.71</v>
      </c>
    </row>
    <row r="721" spans="1:28" x14ac:dyDescent="0.2">
      <c r="C721" s="23" t="s">
        <v>1140</v>
      </c>
      <c r="D721" s="88" t="s">
        <v>443</v>
      </c>
      <c r="E721" s="88"/>
      <c r="F721" s="88"/>
      <c r="G721" s="88"/>
      <c r="H721" s="88"/>
    </row>
    <row r="722" spans="1:28" x14ac:dyDescent="0.2">
      <c r="C722" s="23" t="s">
        <v>1141</v>
      </c>
      <c r="D722" s="88" t="s">
        <v>443</v>
      </c>
      <c r="E722" s="88"/>
      <c r="F722" s="88"/>
      <c r="G722" s="88"/>
      <c r="H722" s="88"/>
    </row>
    <row r="723" spans="1:28" x14ac:dyDescent="0.2">
      <c r="C723" s="23" t="s">
        <v>1142</v>
      </c>
      <c r="D723" s="88" t="s">
        <v>443</v>
      </c>
      <c r="E723" s="88"/>
      <c r="F723" s="88"/>
      <c r="G723" s="88"/>
      <c r="H723" s="88"/>
    </row>
    <row r="724" spans="1:28" x14ac:dyDescent="0.2">
      <c r="C724" s="23" t="s">
        <v>1143</v>
      </c>
      <c r="D724" s="88" t="s">
        <v>443</v>
      </c>
      <c r="E724" s="88"/>
      <c r="F724" s="88"/>
      <c r="G724" s="88"/>
      <c r="H724" s="88"/>
    </row>
    <row r="725" spans="1:28" x14ac:dyDescent="0.2">
      <c r="C725" s="23" t="s">
        <v>1144</v>
      </c>
      <c r="D725" s="88" t="s">
        <v>443</v>
      </c>
      <c r="E725" s="88"/>
      <c r="F725" s="88"/>
      <c r="G725" s="88"/>
      <c r="H725" s="88"/>
    </row>
    <row r="726" spans="1:28" x14ac:dyDescent="0.2">
      <c r="C726" s="9" t="s">
        <v>1134</v>
      </c>
      <c r="D726" s="34"/>
      <c r="E726" s="34"/>
      <c r="F726" s="34">
        <f>Source!BZ202</f>
        <v>95</v>
      </c>
      <c r="G726" s="57">
        <f>(Source!AF202+Source!AE202)*Source!FX202/100</f>
        <v>398.01199999999994</v>
      </c>
      <c r="H726" s="57">
        <f>Source!X202</f>
        <v>213.65</v>
      </c>
    </row>
    <row r="727" spans="1:28" x14ac:dyDescent="0.2">
      <c r="C727" s="9" t="s">
        <v>1136</v>
      </c>
      <c r="D727" s="34"/>
      <c r="E727" s="34"/>
      <c r="F727" s="34">
        <f>Source!CA202</f>
        <v>65</v>
      </c>
      <c r="G727" s="57">
        <f>(Source!AF202+Source!AE202)*Source!FY202/100</f>
        <v>272.32399999999996</v>
      </c>
      <c r="H727" s="57">
        <f>Source!Y202</f>
        <v>146.18</v>
      </c>
    </row>
    <row r="728" spans="1:28" x14ac:dyDescent="0.2">
      <c r="C728" s="9" t="s">
        <v>1138</v>
      </c>
      <c r="D728" s="34"/>
      <c r="E728" s="34"/>
      <c r="F728" s="34"/>
      <c r="G728" s="57">
        <f>((Source!AF202+Source!AE202)*Source!FX202/100)+((Source!AF202+Source!AE202)*Source!FY202/100)+Source!AB202</f>
        <v>1197.326</v>
      </c>
      <c r="H728" s="57">
        <f>Source!O202+Source!X202+Source!Y202</f>
        <v>642.71</v>
      </c>
    </row>
    <row r="729" spans="1:28" ht="28.5" x14ac:dyDescent="0.2">
      <c r="A729" s="46">
        <v>107</v>
      </c>
      <c r="B729" s="46" t="str">
        <f>Source!E203</f>
        <v>45,1</v>
      </c>
      <c r="C729" s="46" t="str">
        <f>Source!G203</f>
        <v>Выключатель двухклавишный для открытой проводки</v>
      </c>
      <c r="D729" s="46" t="str">
        <f>Source!F203</f>
        <v>20.4.01.01-0001</v>
      </c>
      <c r="E729" s="31" t="str">
        <f>Source!H203</f>
        <v>10 шт.</v>
      </c>
      <c r="F729" s="12">
        <f>Source!I203</f>
        <v>0.8</v>
      </c>
      <c r="G729" s="22">
        <f>Source!AB203</f>
        <v>72.8</v>
      </c>
      <c r="H729" s="22">
        <f>Source!O203</f>
        <v>390.79</v>
      </c>
      <c r="T729">
        <f>Source!O203+Source!X203+Source!Y203</f>
        <v>390.79</v>
      </c>
      <c r="U729">
        <f>Source!P203</f>
        <v>390.79</v>
      </c>
      <c r="V729">
        <f>Source!S203</f>
        <v>0</v>
      </c>
      <c r="W729">
        <f>Source!Q203</f>
        <v>0</v>
      </c>
      <c r="X729">
        <f>Source!R203</f>
        <v>0</v>
      </c>
      <c r="Y729">
        <f>Source!U203</f>
        <v>0</v>
      </c>
      <c r="Z729">
        <f>Source!V203</f>
        <v>0</v>
      </c>
      <c r="AA729">
        <f>Source!X203</f>
        <v>0</v>
      </c>
      <c r="AB729">
        <f>Source!Y203</f>
        <v>0</v>
      </c>
    </row>
    <row r="730" spans="1:28" ht="14.25" x14ac:dyDescent="0.2">
      <c r="C730" s="23" t="s">
        <v>1132</v>
      </c>
      <c r="D730" s="23">
        <f>Source!BC203</f>
        <v>6.71</v>
      </c>
      <c r="F730" s="12"/>
      <c r="G730" s="12"/>
      <c r="H730" s="12"/>
    </row>
    <row r="731" spans="1:28" ht="28.5" x14ac:dyDescent="0.2">
      <c r="A731" s="46">
        <v>108</v>
      </c>
      <c r="B731" s="46" t="str">
        <f>Source!E204</f>
        <v>46</v>
      </c>
      <c r="C731" s="46" t="str">
        <f>Source!G204</f>
        <v>Пробивка отверстий в кирпичных стенах  вручную  диам.30мм.</v>
      </c>
      <c r="D731" s="46" t="str">
        <f>Source!F204</f>
        <v>69-1-3</v>
      </c>
      <c r="E731" s="31" t="str">
        <f>Source!H204</f>
        <v>100 ШТ</v>
      </c>
      <c r="F731" s="12">
        <f>Source!I204</f>
        <v>0.08</v>
      </c>
      <c r="G731" s="22">
        <f>Source!AB204</f>
        <v>933.66</v>
      </c>
      <c r="H731" s="22">
        <f>Source!O204</f>
        <v>501.19</v>
      </c>
      <c r="T731">
        <f>Source!O204+Source!X204+Source!Y204</f>
        <v>1142.72</v>
      </c>
      <c r="U731">
        <f>Source!P204</f>
        <v>0</v>
      </c>
      <c r="V731">
        <f>Source!S204</f>
        <v>501.19</v>
      </c>
      <c r="W731">
        <f>Source!Q204</f>
        <v>0</v>
      </c>
      <c r="X731">
        <f>Source!R204</f>
        <v>0</v>
      </c>
      <c r="Y731">
        <f>Source!U204</f>
        <v>9.5760000000000005</v>
      </c>
      <c r="Z731">
        <f>Source!V204</f>
        <v>0</v>
      </c>
      <c r="AA731">
        <f>Source!X204</f>
        <v>390.93</v>
      </c>
      <c r="AB731">
        <f>Source!Y204</f>
        <v>250.6</v>
      </c>
    </row>
    <row r="732" spans="1:28" ht="14.25" x14ac:dyDescent="0.2">
      <c r="C732" s="23" t="str">
        <f>"Объем: "&amp;Source!I204&amp;"=8/"&amp;"100"</f>
        <v>Объем: 0,08=8/100</v>
      </c>
      <c r="F732" s="12"/>
      <c r="G732" s="12"/>
      <c r="H732" s="12"/>
    </row>
    <row r="733" spans="1:28" x14ac:dyDescent="0.2">
      <c r="C733" s="23" t="s">
        <v>1130</v>
      </c>
      <c r="D733" s="23">
        <f>Source!BA204</f>
        <v>6.71</v>
      </c>
    </row>
    <row r="734" spans="1:28" x14ac:dyDescent="0.2">
      <c r="C734" s="23" t="s">
        <v>1131</v>
      </c>
      <c r="D734" s="23">
        <f>Source!BB204</f>
        <v>6.71</v>
      </c>
    </row>
    <row r="735" spans="1:28" x14ac:dyDescent="0.2">
      <c r="C735" s="23" t="s">
        <v>1132</v>
      </c>
      <c r="D735" s="23">
        <f>Source!BC204</f>
        <v>6.71</v>
      </c>
    </row>
    <row r="736" spans="1:28" x14ac:dyDescent="0.2">
      <c r="C736" s="23" t="s">
        <v>1133</v>
      </c>
      <c r="D736" s="23">
        <f>Source!BS204</f>
        <v>6.71</v>
      </c>
    </row>
    <row r="737" spans="1:28" x14ac:dyDescent="0.2">
      <c r="C737" s="9" t="s">
        <v>1134</v>
      </c>
      <c r="D737" s="34"/>
      <c r="E737" s="34"/>
      <c r="F737" s="34">
        <f>Source!BZ204</f>
        <v>78</v>
      </c>
      <c r="G737" s="57">
        <f>(Source!AF204+Source!AE204)*Source!FX204/100</f>
        <v>728.25479999999993</v>
      </c>
      <c r="H737" s="57">
        <f>Source!X204</f>
        <v>390.93</v>
      </c>
    </row>
    <row r="738" spans="1:28" x14ac:dyDescent="0.2">
      <c r="C738" s="9" t="s">
        <v>1136</v>
      </c>
      <c r="D738" s="34"/>
      <c r="E738" s="34"/>
      <c r="F738" s="34">
        <f>Source!CA204</f>
        <v>50</v>
      </c>
      <c r="G738" s="57">
        <f>(Source!AF204+Source!AE204)*Source!FY204/100</f>
        <v>466.83</v>
      </c>
      <c r="H738" s="57">
        <f>Source!Y204</f>
        <v>250.6</v>
      </c>
    </row>
    <row r="739" spans="1:28" x14ac:dyDescent="0.2">
      <c r="C739" s="9" t="s">
        <v>1138</v>
      </c>
      <c r="D739" s="34"/>
      <c r="E739" s="34"/>
      <c r="F739" s="34"/>
      <c r="G739" s="57">
        <f>((Source!AF204+Source!AE204)*Source!FX204/100)+((Source!AF204+Source!AE204)*Source!FY204/100)+Source!AB204</f>
        <v>2128.7447999999999</v>
      </c>
      <c r="H739" s="57">
        <f>Source!O204+Source!X204+Source!Y204</f>
        <v>1142.72</v>
      </c>
    </row>
    <row r="740" spans="1:28" ht="28.5" x14ac:dyDescent="0.2">
      <c r="A740" s="46">
        <v>109</v>
      </c>
      <c r="B740" s="46" t="str">
        <f>Source!E205</f>
        <v>47</v>
      </c>
      <c r="C740" s="46" t="str">
        <f>Source!G205</f>
        <v>Прокладка  гильз из трубы ПНД, диаметр до 30 мм</v>
      </c>
      <c r="D740" s="46" t="str">
        <f>Source!F205</f>
        <v>м08-02-409-01</v>
      </c>
      <c r="E740" s="31" t="str">
        <f>Source!H205</f>
        <v>100 м</v>
      </c>
      <c r="F740" s="12">
        <f>Source!I205</f>
        <v>2.4E-2</v>
      </c>
      <c r="G740" s="22">
        <f>Source!AB205</f>
        <v>273.86</v>
      </c>
      <c r="H740" s="22">
        <f>Source!O205</f>
        <v>44.1</v>
      </c>
      <c r="T740">
        <f>Source!O205+Source!X205+Source!Y205</f>
        <v>100.14999999999999</v>
      </c>
      <c r="U740">
        <f>Source!P205</f>
        <v>3.04</v>
      </c>
      <c r="V740">
        <f>Source!S205</f>
        <v>34.590000000000003</v>
      </c>
      <c r="W740">
        <f>Source!Q205</f>
        <v>6.47</v>
      </c>
      <c r="X740">
        <f>Source!R205</f>
        <v>0.44</v>
      </c>
      <c r="Y740">
        <f>Source!U205</f>
        <v>0.54835199999999995</v>
      </c>
      <c r="Z740">
        <f>Source!V205</f>
        <v>5.1840000000000002E-3</v>
      </c>
      <c r="AA740">
        <f>Source!X205</f>
        <v>33.28</v>
      </c>
      <c r="AB740">
        <f>Source!Y205</f>
        <v>22.77</v>
      </c>
    </row>
    <row r="741" spans="1:28" ht="14.25" x14ac:dyDescent="0.2">
      <c r="C741" s="23" t="str">
        <f>"Объем: "&amp;Source!I205&amp;"=2,4/"&amp;"100"</f>
        <v>Объем: 0,024=2,4/100</v>
      </c>
      <c r="F741" s="12"/>
      <c r="G741" s="12"/>
      <c r="H741" s="12"/>
    </row>
    <row r="742" spans="1:28" x14ac:dyDescent="0.2">
      <c r="C742" s="23" t="s">
        <v>1130</v>
      </c>
      <c r="D742" s="23">
        <f>Source!BA205</f>
        <v>6.71</v>
      </c>
    </row>
    <row r="743" spans="1:28" x14ac:dyDescent="0.2">
      <c r="C743" s="23" t="s">
        <v>1131</v>
      </c>
      <c r="D743" s="23">
        <f>Source!BB205</f>
        <v>6.71</v>
      </c>
    </row>
    <row r="744" spans="1:28" x14ac:dyDescent="0.2">
      <c r="C744" s="23" t="s">
        <v>1132</v>
      </c>
      <c r="D744" s="23">
        <f>Source!BC205</f>
        <v>6.71</v>
      </c>
    </row>
    <row r="745" spans="1:28" x14ac:dyDescent="0.2">
      <c r="C745" s="23" t="s">
        <v>1133</v>
      </c>
      <c r="D745" s="23">
        <f>Source!BS205</f>
        <v>6.71</v>
      </c>
    </row>
    <row r="746" spans="1:28" x14ac:dyDescent="0.2">
      <c r="C746" s="23" t="s">
        <v>1140</v>
      </c>
      <c r="D746" s="88" t="s">
        <v>443</v>
      </c>
      <c r="E746" s="88"/>
      <c r="F746" s="88"/>
      <c r="G746" s="88"/>
      <c r="H746" s="88"/>
    </row>
    <row r="747" spans="1:28" x14ac:dyDescent="0.2">
      <c r="C747" s="23" t="s">
        <v>1141</v>
      </c>
      <c r="D747" s="88" t="s">
        <v>443</v>
      </c>
      <c r="E747" s="88"/>
      <c r="F747" s="88"/>
      <c r="G747" s="88"/>
      <c r="H747" s="88"/>
    </row>
    <row r="748" spans="1:28" x14ac:dyDescent="0.2">
      <c r="C748" s="23" t="s">
        <v>1142</v>
      </c>
      <c r="D748" s="88" t="s">
        <v>443</v>
      </c>
      <c r="E748" s="88"/>
      <c r="F748" s="88"/>
      <c r="G748" s="88"/>
      <c r="H748" s="88"/>
    </row>
    <row r="749" spans="1:28" x14ac:dyDescent="0.2">
      <c r="C749" s="23" t="s">
        <v>1143</v>
      </c>
      <c r="D749" s="88" t="s">
        <v>443</v>
      </c>
      <c r="E749" s="88"/>
      <c r="F749" s="88"/>
      <c r="G749" s="88"/>
      <c r="H749" s="88"/>
    </row>
    <row r="750" spans="1:28" x14ac:dyDescent="0.2">
      <c r="C750" s="23" t="s">
        <v>1144</v>
      </c>
      <c r="D750" s="88" t="s">
        <v>443</v>
      </c>
      <c r="E750" s="88"/>
      <c r="F750" s="88"/>
      <c r="G750" s="88"/>
      <c r="H750" s="88"/>
    </row>
    <row r="751" spans="1:28" x14ac:dyDescent="0.2">
      <c r="C751" s="9" t="s">
        <v>1134</v>
      </c>
      <c r="D751" s="34"/>
      <c r="E751" s="34"/>
      <c r="F751" s="34">
        <f>Source!BZ205</f>
        <v>95</v>
      </c>
      <c r="G751" s="57">
        <f>(Source!AF205+Source!AE205)*Source!FX205/100</f>
        <v>206.6155</v>
      </c>
      <c r="H751" s="57">
        <f>Source!X205</f>
        <v>33.28</v>
      </c>
    </row>
    <row r="752" spans="1:28" x14ac:dyDescent="0.2">
      <c r="C752" s="9" t="s">
        <v>1136</v>
      </c>
      <c r="D752" s="34"/>
      <c r="E752" s="34"/>
      <c r="F752" s="34">
        <f>Source!CA205</f>
        <v>65</v>
      </c>
      <c r="G752" s="57">
        <f>(Source!AF205+Source!AE205)*Source!FY205/100</f>
        <v>141.36850000000001</v>
      </c>
      <c r="H752" s="57">
        <f>Source!Y205</f>
        <v>22.77</v>
      </c>
    </row>
    <row r="753" spans="1:28" x14ac:dyDescent="0.2">
      <c r="C753" s="9" t="s">
        <v>1138</v>
      </c>
      <c r="D753" s="34"/>
      <c r="E753" s="34"/>
      <c r="F753" s="34"/>
      <c r="G753" s="57">
        <f>((Source!AF205+Source!AE205)*Source!FX205/100)+((Source!AF205+Source!AE205)*Source!FY205/100)+Source!AB205</f>
        <v>621.84400000000005</v>
      </c>
      <c r="H753" s="57">
        <f>Source!O205+Source!X205+Source!Y205</f>
        <v>100.14999999999999</v>
      </c>
    </row>
    <row r="754" spans="1:28" ht="42.75" x14ac:dyDescent="0.2">
      <c r="A754" s="46">
        <v>110</v>
      </c>
      <c r="B754" s="46" t="str">
        <f>Source!E206</f>
        <v>47,1</v>
      </c>
      <c r="C754" s="46" t="str">
        <f>Source!G206</f>
        <v>Трубы жесткие гладкие тяжелые из самозатухающего ПВХ (IP55) серии RIG, диаметром 25 мм</v>
      </c>
      <c r="D754" s="46" t="str">
        <f>Source!F206</f>
        <v>24.3.01.03-0023</v>
      </c>
      <c r="E754" s="31" t="str">
        <f>Source!H206</f>
        <v>10 м</v>
      </c>
      <c r="F754" s="12">
        <f>Source!I206</f>
        <v>0.24</v>
      </c>
      <c r="G754" s="22">
        <f>Source!AB206</f>
        <v>86.76</v>
      </c>
      <c r="H754" s="22">
        <f>Source!O206</f>
        <v>139.72</v>
      </c>
      <c r="T754">
        <f>Source!O206+Source!X206+Source!Y206</f>
        <v>139.72</v>
      </c>
      <c r="U754">
        <f>Source!P206</f>
        <v>139.72</v>
      </c>
      <c r="V754">
        <f>Source!S206</f>
        <v>0</v>
      </c>
      <c r="W754">
        <f>Source!Q206</f>
        <v>0</v>
      </c>
      <c r="X754">
        <f>Source!R206</f>
        <v>0</v>
      </c>
      <c r="Y754">
        <f>Source!U206</f>
        <v>0</v>
      </c>
      <c r="Z754">
        <f>Source!V206</f>
        <v>0</v>
      </c>
      <c r="AA754">
        <f>Source!X206</f>
        <v>0</v>
      </c>
      <c r="AB754">
        <f>Source!Y206</f>
        <v>0</v>
      </c>
    </row>
    <row r="755" spans="1:28" ht="14.25" x14ac:dyDescent="0.2">
      <c r="C755" s="23" t="s">
        <v>1132</v>
      </c>
      <c r="D755" s="23">
        <f>Source!BC206</f>
        <v>6.71</v>
      </c>
      <c r="F755" s="12"/>
      <c r="G755" s="12"/>
      <c r="H755" s="12"/>
    </row>
    <row r="756" spans="1:28" ht="57" x14ac:dyDescent="0.2">
      <c r="A756" s="46">
        <v>111</v>
      </c>
      <c r="B756" s="46" t="str">
        <f>Source!E207</f>
        <v>48</v>
      </c>
      <c r="C756" s="46" t="str">
        <f>Source!G207</f>
        <v>Установка светильников  отдельно устанавливаемый на подвесах (штангах) (светодиодных ранее демонтированых)</v>
      </c>
      <c r="D756" s="46" t="str">
        <f>Source!F207</f>
        <v>м08-03-594-08</v>
      </c>
      <c r="E756" s="31" t="str">
        <f>Source!H207</f>
        <v>100 ШТ</v>
      </c>
      <c r="F756" s="12">
        <f>Source!I207</f>
        <v>0.48</v>
      </c>
      <c r="G756" s="22">
        <f>Source!AB207</f>
        <v>1967.74</v>
      </c>
      <c r="H756" s="22">
        <f>Source!O207</f>
        <v>6337.7</v>
      </c>
      <c r="T756">
        <f>Source!O207+Source!X207+Source!Y207</f>
        <v>15463.29</v>
      </c>
      <c r="U756">
        <f>Source!P207</f>
        <v>457.26</v>
      </c>
      <c r="V756">
        <f>Source!S207</f>
        <v>5674.37</v>
      </c>
      <c r="W756">
        <f>Source!Q207</f>
        <v>206.07</v>
      </c>
      <c r="X756">
        <f>Source!R207</f>
        <v>29.12</v>
      </c>
      <c r="Y756">
        <f>Source!U207</f>
        <v>85.24799999999999</v>
      </c>
      <c r="Z756">
        <f>Source!V207</f>
        <v>0.34559999999999996</v>
      </c>
      <c r="AA756">
        <f>Source!X207</f>
        <v>5418.32</v>
      </c>
      <c r="AB756">
        <f>Source!Y207</f>
        <v>3707.27</v>
      </c>
    </row>
    <row r="757" spans="1:28" ht="14.25" x14ac:dyDescent="0.2">
      <c r="C757" s="23" t="str">
        <f>"Объем: "&amp;Source!I207&amp;"=48/"&amp;"100"</f>
        <v>Объем: 0,48=48/100</v>
      </c>
      <c r="F757" s="12"/>
      <c r="G757" s="12"/>
      <c r="H757" s="12"/>
    </row>
    <row r="758" spans="1:28" x14ac:dyDescent="0.2">
      <c r="C758" s="23" t="s">
        <v>1130</v>
      </c>
      <c r="D758" s="23">
        <f>Source!BA207</f>
        <v>6.71</v>
      </c>
    </row>
    <row r="759" spans="1:28" x14ac:dyDescent="0.2">
      <c r="C759" s="23" t="s">
        <v>1131</v>
      </c>
      <c r="D759" s="23">
        <f>Source!BB207</f>
        <v>6.71</v>
      </c>
    </row>
    <row r="760" spans="1:28" x14ac:dyDescent="0.2">
      <c r="C760" s="23" t="s">
        <v>1132</v>
      </c>
      <c r="D760" s="23">
        <f>Source!BC207</f>
        <v>6.71</v>
      </c>
    </row>
    <row r="761" spans="1:28" x14ac:dyDescent="0.2">
      <c r="C761" s="23" t="s">
        <v>1133</v>
      </c>
      <c r="D761" s="23">
        <f>Source!BS207</f>
        <v>6.71</v>
      </c>
    </row>
    <row r="762" spans="1:28" x14ac:dyDescent="0.2">
      <c r="C762" s="23" t="s">
        <v>1140</v>
      </c>
      <c r="D762" s="88" t="s">
        <v>443</v>
      </c>
      <c r="E762" s="88"/>
      <c r="F762" s="88"/>
      <c r="G762" s="88"/>
      <c r="H762" s="88"/>
    </row>
    <row r="763" spans="1:28" x14ac:dyDescent="0.2">
      <c r="C763" s="23" t="s">
        <v>1141</v>
      </c>
      <c r="D763" s="88" t="s">
        <v>443</v>
      </c>
      <c r="E763" s="88"/>
      <c r="F763" s="88"/>
      <c r="G763" s="88"/>
      <c r="H763" s="88"/>
    </row>
    <row r="764" spans="1:28" x14ac:dyDescent="0.2">
      <c r="C764" s="23" t="s">
        <v>1142</v>
      </c>
      <c r="D764" s="88" t="s">
        <v>443</v>
      </c>
      <c r="E764" s="88"/>
      <c r="F764" s="88"/>
      <c r="G764" s="88"/>
      <c r="H764" s="88"/>
    </row>
    <row r="765" spans="1:28" x14ac:dyDescent="0.2">
      <c r="C765" s="23" t="s">
        <v>1143</v>
      </c>
      <c r="D765" s="88" t="s">
        <v>443</v>
      </c>
      <c r="E765" s="88"/>
      <c r="F765" s="88"/>
      <c r="G765" s="88"/>
      <c r="H765" s="88"/>
    </row>
    <row r="766" spans="1:28" x14ac:dyDescent="0.2">
      <c r="C766" s="23" t="s">
        <v>1144</v>
      </c>
      <c r="D766" s="88" t="s">
        <v>443</v>
      </c>
      <c r="E766" s="88"/>
      <c r="F766" s="88"/>
      <c r="G766" s="88"/>
      <c r="H766" s="88"/>
    </row>
    <row r="767" spans="1:28" x14ac:dyDescent="0.2">
      <c r="C767" s="9" t="s">
        <v>1134</v>
      </c>
      <c r="D767" s="34"/>
      <c r="E767" s="34"/>
      <c r="F767" s="34">
        <f>Source!BZ207</f>
        <v>95</v>
      </c>
      <c r="G767" s="57">
        <f>(Source!AF207+Source!AE207)*Source!FX207/100</f>
        <v>1682.2885000000001</v>
      </c>
      <c r="H767" s="57">
        <f>Source!X207</f>
        <v>5418.32</v>
      </c>
    </row>
    <row r="768" spans="1:28" x14ac:dyDescent="0.2">
      <c r="C768" s="9" t="s">
        <v>1136</v>
      </c>
      <c r="D768" s="34"/>
      <c r="E768" s="34"/>
      <c r="F768" s="34">
        <f>Source!CA207</f>
        <v>65</v>
      </c>
      <c r="G768" s="57">
        <f>(Source!AF207+Source!AE207)*Source!FY207/100</f>
        <v>1151.0394999999999</v>
      </c>
      <c r="H768" s="57">
        <f>Source!Y207</f>
        <v>3707.27</v>
      </c>
    </row>
    <row r="769" spans="1:28" x14ac:dyDescent="0.2">
      <c r="C769" s="9" t="s">
        <v>1138</v>
      </c>
      <c r="D769" s="34"/>
      <c r="E769" s="34"/>
      <c r="F769" s="34"/>
      <c r="G769" s="57">
        <f>((Source!AF207+Source!AE207)*Source!FX207/100)+((Source!AF207+Source!AE207)*Source!FY207/100)+Source!AB207</f>
        <v>4801.0680000000002</v>
      </c>
      <c r="H769" s="57">
        <f>Source!O207+Source!X207+Source!Y207</f>
        <v>15463.29</v>
      </c>
    </row>
    <row r="770" spans="1:28" ht="28.5" x14ac:dyDescent="0.2">
      <c r="A770" s="46">
        <v>112</v>
      </c>
      <c r="B770" s="46" t="str">
        <f>Source!E208</f>
        <v>49</v>
      </c>
      <c r="C770" s="46" t="str">
        <f>Source!G208</f>
        <v>Щиток до трех групп, устанавливаемый в нише цоколя (бокс)</v>
      </c>
      <c r="D770" s="46" t="str">
        <f>Source!F208</f>
        <v>м08-02-370-02 прим.</v>
      </c>
      <c r="E770" s="31" t="str">
        <f>Source!H208</f>
        <v>ШТ</v>
      </c>
      <c r="F770" s="12">
        <f>Source!I208</f>
        <v>8</v>
      </c>
      <c r="G770" s="22">
        <f>Source!AB208</f>
        <v>38.86</v>
      </c>
      <c r="H770" s="22">
        <f>Source!O208</f>
        <v>2086.0100000000002</v>
      </c>
      <c r="T770">
        <f>Source!O208+Source!X208+Source!Y208</f>
        <v>3318.5</v>
      </c>
      <c r="U770">
        <f>Source!P208</f>
        <v>332.82</v>
      </c>
      <c r="V770">
        <f>Source!S208</f>
        <v>608.73</v>
      </c>
      <c r="W770">
        <f>Source!Q208</f>
        <v>1144.46</v>
      </c>
      <c r="X770">
        <f>Source!R208</f>
        <v>161.58000000000001</v>
      </c>
      <c r="Y770">
        <f>Source!U208</f>
        <v>8.64</v>
      </c>
      <c r="Z770">
        <f>Source!V208</f>
        <v>1.92</v>
      </c>
      <c r="AA770">
        <f>Source!X208</f>
        <v>731.79</v>
      </c>
      <c r="AB770">
        <f>Source!Y208</f>
        <v>500.7</v>
      </c>
    </row>
    <row r="771" spans="1:28" ht="14.25" x14ac:dyDescent="0.2">
      <c r="C771" s="23" t="s">
        <v>1130</v>
      </c>
      <c r="D771" s="23">
        <f>Source!BA208</f>
        <v>6.71</v>
      </c>
      <c r="F771" s="12"/>
      <c r="G771" s="12"/>
      <c r="H771" s="12"/>
    </row>
    <row r="772" spans="1:28" x14ac:dyDescent="0.2">
      <c r="C772" s="23" t="s">
        <v>1131</v>
      </c>
      <c r="D772" s="23">
        <f>Source!BB208</f>
        <v>6.71</v>
      </c>
    </row>
    <row r="773" spans="1:28" x14ac:dyDescent="0.2">
      <c r="C773" s="23" t="s">
        <v>1132</v>
      </c>
      <c r="D773" s="23">
        <f>Source!BC208</f>
        <v>6.71</v>
      </c>
    </row>
    <row r="774" spans="1:28" x14ac:dyDescent="0.2">
      <c r="C774" s="23" t="s">
        <v>1133</v>
      </c>
      <c r="D774" s="23">
        <f>Source!BS208</f>
        <v>6.71</v>
      </c>
    </row>
    <row r="775" spans="1:28" x14ac:dyDescent="0.2">
      <c r="C775" s="23" t="s">
        <v>1140</v>
      </c>
      <c r="D775" s="88" t="s">
        <v>443</v>
      </c>
      <c r="E775" s="88"/>
      <c r="F775" s="88"/>
      <c r="G775" s="88"/>
      <c r="H775" s="88"/>
    </row>
    <row r="776" spans="1:28" x14ac:dyDescent="0.2">
      <c r="C776" s="23" t="s">
        <v>1141</v>
      </c>
      <c r="D776" s="88" t="s">
        <v>443</v>
      </c>
      <c r="E776" s="88"/>
      <c r="F776" s="88"/>
      <c r="G776" s="88"/>
      <c r="H776" s="88"/>
    </row>
    <row r="777" spans="1:28" x14ac:dyDescent="0.2">
      <c r="C777" s="23" t="s">
        <v>1142</v>
      </c>
      <c r="D777" s="88" t="s">
        <v>443</v>
      </c>
      <c r="E777" s="88"/>
      <c r="F777" s="88"/>
      <c r="G777" s="88"/>
      <c r="H777" s="88"/>
    </row>
    <row r="778" spans="1:28" x14ac:dyDescent="0.2">
      <c r="C778" s="23" t="s">
        <v>1143</v>
      </c>
      <c r="D778" s="88" t="s">
        <v>443</v>
      </c>
      <c r="E778" s="88"/>
      <c r="F778" s="88"/>
      <c r="G778" s="88"/>
      <c r="H778" s="88"/>
    </row>
    <row r="779" spans="1:28" x14ac:dyDescent="0.2">
      <c r="C779" s="23" t="s">
        <v>1144</v>
      </c>
      <c r="D779" s="88" t="s">
        <v>443</v>
      </c>
      <c r="E779" s="88"/>
      <c r="F779" s="88"/>
      <c r="G779" s="88"/>
      <c r="H779" s="88"/>
    </row>
    <row r="780" spans="1:28" x14ac:dyDescent="0.2">
      <c r="C780" s="9" t="s">
        <v>1134</v>
      </c>
      <c r="D780" s="34"/>
      <c r="E780" s="34"/>
      <c r="F780" s="34">
        <f>Source!BZ208</f>
        <v>95</v>
      </c>
      <c r="G780" s="57">
        <f>(Source!AF208+Source!AE208)*Source!FX208/100</f>
        <v>13.6325</v>
      </c>
      <c r="H780" s="57">
        <f>Source!X208</f>
        <v>731.79</v>
      </c>
    </row>
    <row r="781" spans="1:28" x14ac:dyDescent="0.2">
      <c r="C781" s="9" t="s">
        <v>1136</v>
      </c>
      <c r="D781" s="34"/>
      <c r="E781" s="34"/>
      <c r="F781" s="34">
        <f>Source!CA208</f>
        <v>65</v>
      </c>
      <c r="G781" s="57">
        <f>(Source!AF208+Source!AE208)*Source!FY208/100</f>
        <v>9.3275000000000006</v>
      </c>
      <c r="H781" s="57">
        <f>Source!Y208</f>
        <v>500.7</v>
      </c>
    </row>
    <row r="782" spans="1:28" x14ac:dyDescent="0.2">
      <c r="C782" s="9" t="s">
        <v>1138</v>
      </c>
      <c r="D782" s="34"/>
      <c r="E782" s="34"/>
      <c r="F782" s="34"/>
      <c r="G782" s="57">
        <f>((Source!AF208+Source!AE208)*Source!FX208/100)+((Source!AF208+Source!AE208)*Source!FY208/100)+Source!AB208</f>
        <v>61.82</v>
      </c>
      <c r="H782" s="57">
        <f>Source!O208+Source!X208+Source!Y208</f>
        <v>3318.5</v>
      </c>
    </row>
    <row r="783" spans="1:28" ht="28.5" x14ac:dyDescent="0.2">
      <c r="A783" s="46">
        <v>113</v>
      </c>
      <c r="B783" s="46" t="str">
        <f>Source!E209</f>
        <v>49,1</v>
      </c>
      <c r="C783" s="46" t="str">
        <f>Source!G209</f>
        <v>Бокс ЩРН-9 навесной (250х350х120)</v>
      </c>
      <c r="D783" s="46" t="str">
        <f>Source!F209</f>
        <v>22.1.01.02-0003</v>
      </c>
      <c r="E783" s="31" t="str">
        <f>Source!H209</f>
        <v>шт.</v>
      </c>
      <c r="F783" s="12">
        <f>Source!I209</f>
        <v>8</v>
      </c>
      <c r="G783" s="22">
        <f>Source!AB209</f>
        <v>92.25</v>
      </c>
      <c r="H783" s="22">
        <f>Source!O209</f>
        <v>4951.9799999999996</v>
      </c>
      <c r="T783">
        <f>Source!O209+Source!X209+Source!Y209</f>
        <v>4951.9799999999996</v>
      </c>
      <c r="U783">
        <f>Source!P209</f>
        <v>4951.9799999999996</v>
      </c>
      <c r="V783">
        <f>Source!S209</f>
        <v>0</v>
      </c>
      <c r="W783">
        <f>Source!Q209</f>
        <v>0</v>
      </c>
      <c r="X783">
        <f>Source!R209</f>
        <v>0</v>
      </c>
      <c r="Y783">
        <f>Source!U209</f>
        <v>0</v>
      </c>
      <c r="Z783">
        <f>Source!V209</f>
        <v>0</v>
      </c>
      <c r="AA783">
        <f>Source!X209</f>
        <v>0</v>
      </c>
      <c r="AB783">
        <f>Source!Y209</f>
        <v>0</v>
      </c>
    </row>
    <row r="784" spans="1:28" ht="14.25" x14ac:dyDescent="0.2">
      <c r="C784" s="23" t="s">
        <v>1132</v>
      </c>
      <c r="D784" s="23">
        <f>Source!BC209</f>
        <v>6.71</v>
      </c>
      <c r="F784" s="12"/>
      <c r="G784" s="12"/>
      <c r="H784" s="12"/>
    </row>
    <row r="785" spans="1:28" ht="42.75" x14ac:dyDescent="0.2">
      <c r="A785" s="46">
        <v>114</v>
      </c>
      <c r="B785" s="46" t="str">
        <f>Source!E210</f>
        <v>50</v>
      </c>
      <c r="C785" s="46" t="str">
        <f>Source!G210</f>
        <v>Автомат одно-, двух-, трехполюсный, устанавливаемый на конструкции на стене или колонне, на ток до 25 А</v>
      </c>
      <c r="D785" s="46" t="str">
        <f>Source!F210</f>
        <v>м08-03-526-01</v>
      </c>
      <c r="E785" s="31" t="str">
        <f>Source!H210</f>
        <v>ШТ</v>
      </c>
      <c r="F785" s="12">
        <f>Source!I210</f>
        <v>36</v>
      </c>
      <c r="G785" s="22">
        <f>Source!AB210</f>
        <v>39.159999999999997</v>
      </c>
      <c r="H785" s="22">
        <f>Source!O210</f>
        <v>9459.49</v>
      </c>
      <c r="T785">
        <f>Source!O210+Source!X210+Source!Y210</f>
        <v>16342.98</v>
      </c>
      <c r="U785">
        <f>Source!P210</f>
        <v>4852.9399999999996</v>
      </c>
      <c r="V785">
        <f>Source!S210</f>
        <v>4302.18</v>
      </c>
      <c r="W785">
        <f>Source!Q210</f>
        <v>304.37</v>
      </c>
      <c r="X785">
        <f>Source!R210</f>
        <v>0</v>
      </c>
      <c r="Y785">
        <f>Source!U210</f>
        <v>67.391999999999996</v>
      </c>
      <c r="Z785">
        <f>Source!V210</f>
        <v>0</v>
      </c>
      <c r="AA785">
        <f>Source!X210</f>
        <v>4087.07</v>
      </c>
      <c r="AB785">
        <f>Source!Y210</f>
        <v>2796.42</v>
      </c>
    </row>
    <row r="786" spans="1:28" ht="14.25" x14ac:dyDescent="0.2">
      <c r="C786" s="23" t="s">
        <v>1130</v>
      </c>
      <c r="D786" s="23">
        <f>Source!BA210</f>
        <v>6.71</v>
      </c>
      <c r="F786" s="12"/>
      <c r="G786" s="12"/>
      <c r="H786" s="12"/>
    </row>
    <row r="787" spans="1:28" x14ac:dyDescent="0.2">
      <c r="C787" s="23" t="s">
        <v>1131</v>
      </c>
      <c r="D787" s="23">
        <f>Source!BB210</f>
        <v>6.71</v>
      </c>
    </row>
    <row r="788" spans="1:28" x14ac:dyDescent="0.2">
      <c r="C788" s="23" t="s">
        <v>1132</v>
      </c>
      <c r="D788" s="23">
        <f>Source!BC210</f>
        <v>6.71</v>
      </c>
    </row>
    <row r="789" spans="1:28" x14ac:dyDescent="0.2">
      <c r="C789" s="23" t="s">
        <v>1133</v>
      </c>
      <c r="D789" s="23">
        <f>Source!BS210</f>
        <v>6.71</v>
      </c>
    </row>
    <row r="790" spans="1:28" x14ac:dyDescent="0.2">
      <c r="C790" s="23" t="s">
        <v>1140</v>
      </c>
      <c r="D790" s="88" t="s">
        <v>443</v>
      </c>
      <c r="E790" s="88"/>
      <c r="F790" s="88"/>
      <c r="G790" s="88"/>
      <c r="H790" s="88"/>
    </row>
    <row r="791" spans="1:28" x14ac:dyDescent="0.2">
      <c r="C791" s="23" t="s">
        <v>1141</v>
      </c>
      <c r="D791" s="88" t="s">
        <v>443</v>
      </c>
      <c r="E791" s="88"/>
      <c r="F791" s="88"/>
      <c r="G791" s="88"/>
      <c r="H791" s="88"/>
    </row>
    <row r="792" spans="1:28" x14ac:dyDescent="0.2">
      <c r="C792" s="23" t="s">
        <v>1142</v>
      </c>
      <c r="D792" s="88" t="s">
        <v>443</v>
      </c>
      <c r="E792" s="88"/>
      <c r="F792" s="88"/>
      <c r="G792" s="88"/>
      <c r="H792" s="88"/>
    </row>
    <row r="793" spans="1:28" x14ac:dyDescent="0.2">
      <c r="C793" s="23" t="s">
        <v>1143</v>
      </c>
      <c r="D793" s="88" t="s">
        <v>443</v>
      </c>
      <c r="E793" s="88"/>
      <c r="F793" s="88"/>
      <c r="G793" s="88"/>
      <c r="H793" s="88"/>
    </row>
    <row r="794" spans="1:28" x14ac:dyDescent="0.2">
      <c r="C794" s="23" t="s">
        <v>1144</v>
      </c>
      <c r="D794" s="88" t="s">
        <v>443</v>
      </c>
      <c r="E794" s="88"/>
      <c r="F794" s="88"/>
      <c r="G794" s="88"/>
      <c r="H794" s="88"/>
    </row>
    <row r="795" spans="1:28" x14ac:dyDescent="0.2">
      <c r="C795" s="9" t="s">
        <v>1134</v>
      </c>
      <c r="D795" s="34"/>
      <c r="E795" s="34"/>
      <c r="F795" s="34">
        <f>Source!BZ210</f>
        <v>95</v>
      </c>
      <c r="G795" s="57">
        <f>(Source!AF210+Source!AE210)*Source!FX210/100</f>
        <v>16.919499999999999</v>
      </c>
      <c r="H795" s="57">
        <f>Source!X210</f>
        <v>4087.07</v>
      </c>
    </row>
    <row r="796" spans="1:28" x14ac:dyDescent="0.2">
      <c r="C796" s="9" t="s">
        <v>1136</v>
      </c>
      <c r="D796" s="34"/>
      <c r="E796" s="34"/>
      <c r="F796" s="34">
        <f>Source!CA210</f>
        <v>65</v>
      </c>
      <c r="G796" s="57">
        <f>(Source!AF210+Source!AE210)*Source!FY210/100</f>
        <v>11.576499999999999</v>
      </c>
      <c r="H796" s="57">
        <f>Source!Y210</f>
        <v>2796.42</v>
      </c>
    </row>
    <row r="797" spans="1:28" x14ac:dyDescent="0.2">
      <c r="C797" s="9" t="s">
        <v>1138</v>
      </c>
      <c r="D797" s="34"/>
      <c r="E797" s="34"/>
      <c r="F797" s="34"/>
      <c r="G797" s="57">
        <f>((Source!AF210+Source!AE210)*Source!FX210/100)+((Source!AF210+Source!AE210)*Source!FY210/100)+Source!AB210</f>
        <v>67.655999999999992</v>
      </c>
      <c r="H797" s="57">
        <f>Source!O210+Source!X210+Source!Y210</f>
        <v>16342.98</v>
      </c>
    </row>
    <row r="798" spans="1:28" ht="28.5" x14ac:dyDescent="0.2">
      <c r="A798" s="46">
        <v>115</v>
      </c>
      <c r="B798" s="46" t="str">
        <f>Source!E211</f>
        <v>50,1</v>
      </c>
      <c r="C798" s="46" t="str">
        <f>Source!G211</f>
        <v>Выключатели автоматические «АВВ» серии LR 2Р 25А прим.</v>
      </c>
      <c r="D798" s="46" t="str">
        <f>Source!F211</f>
        <v>62.1.01.09-0083</v>
      </c>
      <c r="E798" s="31" t="str">
        <f>Source!H211</f>
        <v>шт.</v>
      </c>
      <c r="F798" s="12">
        <f>Source!I211</f>
        <v>8</v>
      </c>
      <c r="G798" s="22">
        <f>Source!AB211</f>
        <v>114.44</v>
      </c>
      <c r="H798" s="22">
        <f>Source!O211</f>
        <v>6143.14</v>
      </c>
      <c r="T798">
        <f>Source!O211+Source!X211+Source!Y211</f>
        <v>6143.14</v>
      </c>
      <c r="U798">
        <f>Source!P211</f>
        <v>6143.14</v>
      </c>
      <c r="V798">
        <f>Source!S211</f>
        <v>0</v>
      </c>
      <c r="W798">
        <f>Source!Q211</f>
        <v>0</v>
      </c>
      <c r="X798">
        <f>Source!R211</f>
        <v>0</v>
      </c>
      <c r="Y798">
        <f>Source!U211</f>
        <v>0</v>
      </c>
      <c r="Z798">
        <f>Source!V211</f>
        <v>0</v>
      </c>
      <c r="AA798">
        <f>Source!X211</f>
        <v>0</v>
      </c>
      <c r="AB798">
        <f>Source!Y211</f>
        <v>0</v>
      </c>
    </row>
    <row r="799" spans="1:28" ht="14.25" x14ac:dyDescent="0.2">
      <c r="C799" s="23" t="s">
        <v>1132</v>
      </c>
      <c r="D799" s="23">
        <f>Source!BC211</f>
        <v>6.71</v>
      </c>
      <c r="F799" s="12"/>
      <c r="G799" s="12"/>
      <c r="H799" s="12"/>
    </row>
    <row r="800" spans="1:28" ht="28.5" x14ac:dyDescent="0.2">
      <c r="A800" s="46">
        <v>116</v>
      </c>
      <c r="B800" s="46" t="str">
        <f>Source!E212</f>
        <v>50,2</v>
      </c>
      <c r="C800" s="46" t="str">
        <f>Source!G212</f>
        <v>Выключатели автоматические «АВВ» серии LR 1Р 16А прим.</v>
      </c>
      <c r="D800" s="46" t="str">
        <f>Source!F212</f>
        <v>62.1.01.09-0074</v>
      </c>
      <c r="E800" s="31" t="str">
        <f>Source!H212</f>
        <v>шт.</v>
      </c>
      <c r="F800" s="12">
        <f>Source!I212</f>
        <v>8</v>
      </c>
      <c r="G800" s="22">
        <f>Source!AB212</f>
        <v>41.95</v>
      </c>
      <c r="H800" s="22">
        <f>Source!O212</f>
        <v>2251.88</v>
      </c>
      <c r="T800">
        <f>Source!O212+Source!X212+Source!Y212</f>
        <v>2251.88</v>
      </c>
      <c r="U800">
        <f>Source!P212</f>
        <v>2251.88</v>
      </c>
      <c r="V800">
        <f>Source!S212</f>
        <v>0</v>
      </c>
      <c r="W800">
        <f>Source!Q212</f>
        <v>0</v>
      </c>
      <c r="X800">
        <f>Source!R212</f>
        <v>0</v>
      </c>
      <c r="Y800">
        <f>Source!U212</f>
        <v>0</v>
      </c>
      <c r="Z800">
        <f>Source!V212</f>
        <v>0</v>
      </c>
      <c r="AA800">
        <f>Source!X212</f>
        <v>0</v>
      </c>
      <c r="AB800">
        <f>Source!Y212</f>
        <v>0</v>
      </c>
    </row>
    <row r="801" spans="1:28" ht="14.25" x14ac:dyDescent="0.2">
      <c r="C801" s="23" t="s">
        <v>1132</v>
      </c>
      <c r="D801" s="23">
        <f>Source!BC212</f>
        <v>6.71</v>
      </c>
      <c r="F801" s="12"/>
      <c r="G801" s="12"/>
      <c r="H801" s="12"/>
    </row>
    <row r="802" spans="1:28" ht="28.5" x14ac:dyDescent="0.2">
      <c r="A802" s="46">
        <v>117</v>
      </c>
      <c r="B802" s="46" t="str">
        <f>Source!E213</f>
        <v>50,3</v>
      </c>
      <c r="C802" s="46" t="str">
        <f>Source!G213</f>
        <v>Выключатели автоматические «АВВ» серии LR 1Р 20А прим.</v>
      </c>
      <c r="D802" s="46" t="str">
        <f>Source!F213</f>
        <v>62.1.01.09-0073</v>
      </c>
      <c r="E802" s="31" t="str">
        <f>Source!H213</f>
        <v>шт.</v>
      </c>
      <c r="F802" s="12">
        <f>Source!I213</f>
        <v>20</v>
      </c>
      <c r="G802" s="22">
        <f>Source!AB213</f>
        <v>46.25</v>
      </c>
      <c r="H802" s="22">
        <f>Source!O213</f>
        <v>6206.75</v>
      </c>
      <c r="T802">
        <f>Source!O213+Source!X213+Source!Y213</f>
        <v>6206.75</v>
      </c>
      <c r="U802">
        <f>Source!P213</f>
        <v>6206.75</v>
      </c>
      <c r="V802">
        <f>Source!S213</f>
        <v>0</v>
      </c>
      <c r="W802">
        <f>Source!Q213</f>
        <v>0</v>
      </c>
      <c r="X802">
        <f>Source!R213</f>
        <v>0</v>
      </c>
      <c r="Y802">
        <f>Source!U213</f>
        <v>0</v>
      </c>
      <c r="Z802">
        <f>Source!V213</f>
        <v>0</v>
      </c>
      <c r="AA802">
        <f>Source!X213</f>
        <v>0</v>
      </c>
      <c r="AB802">
        <f>Source!Y213</f>
        <v>0</v>
      </c>
    </row>
    <row r="803" spans="1:28" ht="14.25" x14ac:dyDescent="0.2">
      <c r="C803" s="23" t="s">
        <v>1132</v>
      </c>
      <c r="D803" s="23">
        <f>Source!BC213</f>
        <v>6.71</v>
      </c>
      <c r="F803" s="12"/>
      <c r="G803" s="12"/>
      <c r="H803" s="12"/>
    </row>
    <row r="805" spans="1:28" ht="15" x14ac:dyDescent="0.25">
      <c r="A805" s="58"/>
      <c r="B805" s="58"/>
      <c r="C805" s="71" t="str">
        <f>CONCATENATE("Итого по разделу: ",IF(Source!G215&lt;&gt;"Новый раздел", Source!G215, ""))</f>
        <v>Итого по разделу: Электромонтажные работы</v>
      </c>
      <c r="D805" s="71"/>
      <c r="E805" s="71"/>
      <c r="F805" s="71"/>
      <c r="G805" s="58"/>
      <c r="H805" s="59">
        <f>IF(SUM(T574:T804)=0, "-", SUM(T574:T804))</f>
        <v>285969.47000000003</v>
      </c>
    </row>
    <row r="806" spans="1:28" ht="15" x14ac:dyDescent="0.25">
      <c r="A806" s="58"/>
      <c r="B806" s="58"/>
      <c r="C806" s="58"/>
      <c r="D806" s="58"/>
      <c r="E806" s="58"/>
      <c r="F806" s="58"/>
      <c r="G806" s="58"/>
      <c r="H806" s="58"/>
    </row>
    <row r="809" spans="1:28" ht="16.5" x14ac:dyDescent="0.25">
      <c r="A809" s="74" t="str">
        <f>CONCATENATE("Раздел: ",IF(Source!G244&lt;&gt;"Новый раздел", Source!G244, ""))</f>
        <v>Раздел: Пусконаладочные работы</v>
      </c>
      <c r="B809" s="74"/>
      <c r="C809" s="74"/>
      <c r="D809" s="74"/>
      <c r="E809" s="74"/>
      <c r="F809" s="74"/>
      <c r="G809" s="74"/>
      <c r="H809" s="74"/>
    </row>
    <row r="810" spans="1:28" ht="114" x14ac:dyDescent="0.2">
      <c r="A810" s="46">
        <v>118</v>
      </c>
      <c r="B810" s="46" t="str">
        <f>Source!E248</f>
        <v>51</v>
      </c>
      <c r="C810" s="46" t="str">
        <f>Source!G248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810" s="46" t="str">
        <f>Source!F248</f>
        <v>п01-11-028-01</v>
      </c>
      <c r="E810" s="31" t="str">
        <f>Source!H248</f>
        <v>ШТ</v>
      </c>
      <c r="F810" s="12">
        <f>Source!I248</f>
        <v>42</v>
      </c>
      <c r="G810" s="22">
        <f>Source!AB248</f>
        <v>3.28</v>
      </c>
      <c r="H810" s="22">
        <f>Source!O248</f>
        <v>2671.17</v>
      </c>
      <c r="T810">
        <f>Source!O248+Source!X248+Source!Y248</f>
        <v>5475.9000000000005</v>
      </c>
      <c r="U810">
        <f>Source!P248</f>
        <v>0</v>
      </c>
      <c r="V810">
        <f>Source!S248</f>
        <v>2671.17</v>
      </c>
      <c r="W810">
        <f>Source!Q248</f>
        <v>0</v>
      </c>
      <c r="X810">
        <f>Source!R248</f>
        <v>0</v>
      </c>
      <c r="Y810">
        <f>Source!U248</f>
        <v>10.752000000000001</v>
      </c>
      <c r="Z810">
        <f>Source!V248</f>
        <v>0</v>
      </c>
      <c r="AA810">
        <f>Source!X248</f>
        <v>1736.26</v>
      </c>
      <c r="AB810">
        <f>Source!Y248</f>
        <v>1068.47</v>
      </c>
    </row>
    <row r="811" spans="1:28" ht="14.25" x14ac:dyDescent="0.2">
      <c r="C811" s="23" t="s">
        <v>1130</v>
      </c>
      <c r="D811" s="23">
        <f>Source!BA248</f>
        <v>19.39</v>
      </c>
      <c r="F811" s="12"/>
      <c r="G811" s="12"/>
      <c r="H811" s="12"/>
    </row>
    <row r="812" spans="1:28" x14ac:dyDescent="0.2">
      <c r="C812" s="23" t="s">
        <v>1142</v>
      </c>
      <c r="D812" s="88" t="s">
        <v>82</v>
      </c>
      <c r="E812" s="88"/>
      <c r="F812" s="88"/>
      <c r="G812" s="88"/>
      <c r="H812" s="88"/>
    </row>
    <row r="813" spans="1:28" x14ac:dyDescent="0.2">
      <c r="C813" s="23" t="s">
        <v>1143</v>
      </c>
      <c r="D813" s="88" t="s">
        <v>82</v>
      </c>
      <c r="E813" s="88"/>
      <c r="F813" s="88"/>
      <c r="G813" s="88"/>
      <c r="H813" s="88"/>
    </row>
    <row r="814" spans="1:28" x14ac:dyDescent="0.2">
      <c r="C814" s="9" t="s">
        <v>1134</v>
      </c>
      <c r="D814" s="34"/>
      <c r="E814" s="34"/>
      <c r="F814" s="34">
        <f>Source!BZ248</f>
        <v>65</v>
      </c>
      <c r="G814" s="57">
        <f>(Source!AF248+Source!AE248)*Source!FX248/100</f>
        <v>2.1319999999999997</v>
      </c>
      <c r="H814" s="57">
        <f>Source!X248</f>
        <v>1736.26</v>
      </c>
    </row>
    <row r="815" spans="1:28" x14ac:dyDescent="0.2">
      <c r="C815" s="9" t="s">
        <v>1136</v>
      </c>
      <c r="D815" s="34"/>
      <c r="E815" s="34"/>
      <c r="F815" s="34">
        <f>Source!CA248</f>
        <v>40</v>
      </c>
      <c r="G815" s="57">
        <f>(Source!AF248+Source!AE248)*Source!FY248/100</f>
        <v>1.3119999999999998</v>
      </c>
      <c r="H815" s="57">
        <f>Source!Y248</f>
        <v>1068.47</v>
      </c>
    </row>
    <row r="816" spans="1:28" x14ac:dyDescent="0.2">
      <c r="C816" s="9" t="s">
        <v>1138</v>
      </c>
      <c r="D816" s="34"/>
      <c r="E816" s="34"/>
      <c r="F816" s="34"/>
      <c r="G816" s="57">
        <f>((Source!AF248+Source!AE248)*Source!FX248/100)+((Source!AF248+Source!AE248)*Source!FY248/100)+Source!AB248</f>
        <v>6.7239999999999993</v>
      </c>
      <c r="H816" s="57">
        <f>Source!O248+Source!X248+Source!Y248</f>
        <v>5475.9000000000005</v>
      </c>
    </row>
    <row r="817" spans="1:28" ht="28.5" x14ac:dyDescent="0.2">
      <c r="A817" s="46">
        <v>119</v>
      </c>
      <c r="B817" s="46" t="str">
        <f>Source!E249</f>
        <v>52</v>
      </c>
      <c r="C817" s="46" t="str">
        <f>Source!G249</f>
        <v>Испытание аппарата коммутационного напряжением до 1 кВ (силовых цепей)</v>
      </c>
      <c r="D817" s="46" t="str">
        <f>Source!F249</f>
        <v>п01-12-021-01</v>
      </c>
      <c r="E817" s="31" t="str">
        <f>Source!H249</f>
        <v>испытание</v>
      </c>
      <c r="F817" s="12">
        <f>Source!I249</f>
        <v>8</v>
      </c>
      <c r="G817" s="22">
        <f>Source!AB249</f>
        <v>15.7</v>
      </c>
      <c r="H817" s="22">
        <f>Source!O249</f>
        <v>2435.38</v>
      </c>
      <c r="T817">
        <f>Source!O249+Source!X249+Source!Y249</f>
        <v>4992.53</v>
      </c>
      <c r="U817">
        <f>Source!P249</f>
        <v>0</v>
      </c>
      <c r="V817">
        <f>Source!S249</f>
        <v>2435.38</v>
      </c>
      <c r="W817">
        <f>Source!Q249</f>
        <v>0</v>
      </c>
      <c r="X817">
        <f>Source!R249</f>
        <v>0</v>
      </c>
      <c r="Y817">
        <f>Source!U249</f>
        <v>10.368000000000002</v>
      </c>
      <c r="Z817">
        <f>Source!V249</f>
        <v>0</v>
      </c>
      <c r="AA817">
        <f>Source!X249</f>
        <v>1583</v>
      </c>
      <c r="AB817">
        <f>Source!Y249</f>
        <v>974.15</v>
      </c>
    </row>
    <row r="818" spans="1:28" ht="14.25" x14ac:dyDescent="0.2">
      <c r="C818" s="23" t="s">
        <v>1130</v>
      </c>
      <c r="D818" s="23">
        <f>Source!BA249</f>
        <v>19.39</v>
      </c>
      <c r="F818" s="12"/>
      <c r="G818" s="12"/>
      <c r="H818" s="12"/>
    </row>
    <row r="819" spans="1:28" x14ac:dyDescent="0.2">
      <c r="C819" s="23" t="s">
        <v>1142</v>
      </c>
      <c r="D819" s="88" t="s">
        <v>82</v>
      </c>
      <c r="E819" s="88"/>
      <c r="F819" s="88"/>
      <c r="G819" s="88"/>
      <c r="H819" s="88"/>
    </row>
    <row r="820" spans="1:28" x14ac:dyDescent="0.2">
      <c r="C820" s="23" t="s">
        <v>1143</v>
      </c>
      <c r="D820" s="88" t="s">
        <v>82</v>
      </c>
      <c r="E820" s="88"/>
      <c r="F820" s="88"/>
      <c r="G820" s="88"/>
      <c r="H820" s="88"/>
    </row>
    <row r="821" spans="1:28" x14ac:dyDescent="0.2">
      <c r="C821" s="9" t="s">
        <v>1134</v>
      </c>
      <c r="D821" s="34"/>
      <c r="E821" s="34"/>
      <c r="F821" s="34">
        <f>Source!BZ249</f>
        <v>65</v>
      </c>
      <c r="G821" s="57">
        <f>(Source!AF249+Source!AE249)*Source!FX249/100</f>
        <v>10.205</v>
      </c>
      <c r="H821" s="57">
        <f>Source!X249</f>
        <v>1583</v>
      </c>
    </row>
    <row r="822" spans="1:28" x14ac:dyDescent="0.2">
      <c r="C822" s="9" t="s">
        <v>1136</v>
      </c>
      <c r="D822" s="34"/>
      <c r="E822" s="34"/>
      <c r="F822" s="34">
        <f>Source!CA249</f>
        <v>40</v>
      </c>
      <c r="G822" s="57">
        <f>(Source!AF249+Source!AE249)*Source!FY249/100</f>
        <v>6.28</v>
      </c>
      <c r="H822" s="57">
        <f>Source!Y249</f>
        <v>974.15</v>
      </c>
    </row>
    <row r="823" spans="1:28" x14ac:dyDescent="0.2">
      <c r="C823" s="9" t="s">
        <v>1138</v>
      </c>
      <c r="D823" s="34"/>
      <c r="E823" s="34"/>
      <c r="F823" s="34"/>
      <c r="G823" s="57">
        <f>((Source!AF249+Source!AE249)*Source!FX249/100)+((Source!AF249+Source!AE249)*Source!FY249/100)+Source!AB249</f>
        <v>32.185000000000002</v>
      </c>
      <c r="H823" s="57">
        <f>Source!O249+Source!X249+Source!Y249</f>
        <v>4992.53</v>
      </c>
    </row>
    <row r="824" spans="1:28" ht="28.5" x14ac:dyDescent="0.2">
      <c r="A824" s="46">
        <v>120</v>
      </c>
      <c r="B824" s="46" t="str">
        <f>Source!E250</f>
        <v>53</v>
      </c>
      <c r="C824" s="46" t="str">
        <f>Source!G250</f>
        <v>Замер полного сопротивления цепи "фаза-нуль"</v>
      </c>
      <c r="D824" s="46" t="str">
        <f>Source!F250</f>
        <v>п01-11-013-01</v>
      </c>
      <c r="E824" s="31" t="str">
        <f>Source!H250</f>
        <v>ШТ</v>
      </c>
      <c r="F824" s="12">
        <f>Source!I250</f>
        <v>72</v>
      </c>
      <c r="G824" s="22">
        <f>Source!AB250</f>
        <v>12.5</v>
      </c>
      <c r="H824" s="22">
        <f>Source!O250</f>
        <v>17451</v>
      </c>
      <c r="T824">
        <f>Source!O250+Source!X250+Source!Y250</f>
        <v>35774.550000000003</v>
      </c>
      <c r="U824">
        <f>Source!P250</f>
        <v>0</v>
      </c>
      <c r="V824">
        <f>Source!S250</f>
        <v>17451</v>
      </c>
      <c r="W824">
        <f>Source!Q250</f>
        <v>0</v>
      </c>
      <c r="X824">
        <f>Source!R250</f>
        <v>0</v>
      </c>
      <c r="Y824">
        <f>Source!U250</f>
        <v>70.271999999999991</v>
      </c>
      <c r="Z824">
        <f>Source!V250</f>
        <v>0</v>
      </c>
      <c r="AA824">
        <f>Source!X250</f>
        <v>11343.15</v>
      </c>
      <c r="AB824">
        <f>Source!Y250</f>
        <v>6980.4</v>
      </c>
    </row>
    <row r="825" spans="1:28" ht="14.25" x14ac:dyDescent="0.2">
      <c r="C825" s="23" t="s">
        <v>1130</v>
      </c>
      <c r="D825" s="23">
        <f>Source!BA250</f>
        <v>19.39</v>
      </c>
      <c r="F825" s="12"/>
      <c r="G825" s="12"/>
      <c r="H825" s="12"/>
    </row>
    <row r="826" spans="1:28" x14ac:dyDescent="0.2">
      <c r="C826" s="23" t="s">
        <v>1142</v>
      </c>
      <c r="D826" s="88" t="s">
        <v>82</v>
      </c>
      <c r="E826" s="88"/>
      <c r="F826" s="88"/>
      <c r="G826" s="88"/>
      <c r="H826" s="88"/>
    </row>
    <row r="827" spans="1:28" x14ac:dyDescent="0.2">
      <c r="C827" s="23" t="s">
        <v>1143</v>
      </c>
      <c r="D827" s="88" t="s">
        <v>82</v>
      </c>
      <c r="E827" s="88"/>
      <c r="F827" s="88"/>
      <c r="G827" s="88"/>
      <c r="H827" s="88"/>
    </row>
    <row r="828" spans="1:28" x14ac:dyDescent="0.2">
      <c r="C828" s="9" t="s">
        <v>1134</v>
      </c>
      <c r="D828" s="34"/>
      <c r="E828" s="34"/>
      <c r="F828" s="34">
        <f>Source!BZ250</f>
        <v>65</v>
      </c>
      <c r="G828" s="57">
        <f>(Source!AF250+Source!AE250)*Source!FX250/100</f>
        <v>8.125</v>
      </c>
      <c r="H828" s="57">
        <f>Source!X250</f>
        <v>11343.15</v>
      </c>
    </row>
    <row r="829" spans="1:28" x14ac:dyDescent="0.2">
      <c r="C829" s="9" t="s">
        <v>1136</v>
      </c>
      <c r="D829" s="34"/>
      <c r="E829" s="34"/>
      <c r="F829" s="34">
        <f>Source!CA250</f>
        <v>40</v>
      </c>
      <c r="G829" s="57">
        <f>(Source!AF250+Source!AE250)*Source!FY250/100</f>
        <v>5</v>
      </c>
      <c r="H829" s="57">
        <f>Source!Y250</f>
        <v>6980.4</v>
      </c>
    </row>
    <row r="830" spans="1:28" x14ac:dyDescent="0.2">
      <c r="C830" s="9" t="s">
        <v>1138</v>
      </c>
      <c r="D830" s="34"/>
      <c r="E830" s="34"/>
      <c r="F830" s="34"/>
      <c r="G830" s="57">
        <f>((Source!AF250+Source!AE250)*Source!FX250/100)+((Source!AF250+Source!AE250)*Source!FY250/100)+Source!AB250</f>
        <v>25.625</v>
      </c>
      <c r="H830" s="57">
        <f>Source!O250+Source!X250+Source!Y250</f>
        <v>35774.550000000003</v>
      </c>
    </row>
    <row r="832" spans="1:28" ht="15" x14ac:dyDescent="0.25">
      <c r="A832" s="58"/>
      <c r="B832" s="58"/>
      <c r="C832" s="71" t="str">
        <f>CONCATENATE("Итого по разделу: ",IF(Source!G252&lt;&gt;"Новый раздел", Source!G252, ""))</f>
        <v>Итого по разделу: Пусконаладочные работы</v>
      </c>
      <c r="D832" s="71"/>
      <c r="E832" s="71"/>
      <c r="F832" s="71"/>
      <c r="G832" s="58"/>
      <c r="H832" s="59">
        <f>IF(SUM(T809:T831)=0, "-", SUM(T809:T831))</f>
        <v>46242.98</v>
      </c>
    </row>
    <row r="833" spans="1:28" ht="15" x14ac:dyDescent="0.25">
      <c r="A833" s="58"/>
      <c r="B833" s="58"/>
      <c r="C833" s="58"/>
      <c r="D833" s="58"/>
      <c r="E833" s="58"/>
      <c r="F833" s="58"/>
      <c r="G833" s="58"/>
      <c r="H833" s="58"/>
    </row>
    <row r="836" spans="1:28" ht="16.5" x14ac:dyDescent="0.25">
      <c r="A836" s="74" t="str">
        <f>CONCATENATE("Раздел: ",IF(Source!G281&lt;&gt;"Новый раздел", Source!G281, ""))</f>
        <v>Раздел: Сантехнические работы</v>
      </c>
      <c r="B836" s="74"/>
      <c r="C836" s="74"/>
      <c r="D836" s="74"/>
      <c r="E836" s="74"/>
      <c r="F836" s="74"/>
      <c r="G836" s="74"/>
      <c r="H836" s="74"/>
    </row>
    <row r="837" spans="1:28" ht="28.5" x14ac:dyDescent="0.2">
      <c r="A837" s="46">
        <v>121</v>
      </c>
      <c r="B837" s="46" t="str">
        <f>Source!E285</f>
        <v>54</v>
      </c>
      <c r="C837" s="46" t="str">
        <f>Source!G285</f>
        <v>Установка раковин</v>
      </c>
      <c r="D837" s="46" t="str">
        <f>Source!F285</f>
        <v>17-01-005-04</v>
      </c>
      <c r="E837" s="31" t="str">
        <f>Source!H285</f>
        <v>10 компл</v>
      </c>
      <c r="F837" s="12">
        <f>Source!I285</f>
        <v>0.3</v>
      </c>
      <c r="G837" s="22">
        <f>Source!AB285</f>
        <v>173.34</v>
      </c>
      <c r="H837" s="22">
        <f>Source!O285</f>
        <v>348.94</v>
      </c>
      <c r="T837">
        <f>Source!O285+Source!X285+Source!Y285</f>
        <v>749.05</v>
      </c>
      <c r="U837">
        <f>Source!P285</f>
        <v>112.53</v>
      </c>
      <c r="V837">
        <f>Source!S285</f>
        <v>208.91</v>
      </c>
      <c r="W837">
        <f>Source!Q285</f>
        <v>27.5</v>
      </c>
      <c r="X837">
        <f>Source!R285</f>
        <v>6.2</v>
      </c>
      <c r="Y837">
        <f>Source!U285</f>
        <v>3.2364000000000002</v>
      </c>
      <c r="Z837">
        <f>Source!V285</f>
        <v>7.5600000000000001E-2</v>
      </c>
      <c r="AA837">
        <f>Source!X285</f>
        <v>247.38</v>
      </c>
      <c r="AB837">
        <f>Source!Y285</f>
        <v>152.72999999999999</v>
      </c>
    </row>
    <row r="838" spans="1:28" ht="14.25" x14ac:dyDescent="0.2">
      <c r="C838" s="23" t="str">
        <f>"Объем: "&amp;Source!I285&amp;"=3/"&amp;"10"</f>
        <v>Объем: 0,3=3/10</v>
      </c>
      <c r="F838" s="12"/>
      <c r="G838" s="12"/>
      <c r="H838" s="12"/>
    </row>
    <row r="839" spans="1:28" x14ac:dyDescent="0.2">
      <c r="C839" s="23" t="s">
        <v>1130</v>
      </c>
      <c r="D839" s="23">
        <f>Source!BA285</f>
        <v>6.71</v>
      </c>
    </row>
    <row r="840" spans="1:28" x14ac:dyDescent="0.2">
      <c r="C840" s="23" t="s">
        <v>1131</v>
      </c>
      <c r="D840" s="23">
        <f>Source!BB285</f>
        <v>6.71</v>
      </c>
    </row>
    <row r="841" spans="1:28" x14ac:dyDescent="0.2">
      <c r="C841" s="23" t="s">
        <v>1132</v>
      </c>
      <c r="D841" s="23">
        <f>Source!BC285</f>
        <v>6.71</v>
      </c>
    </row>
    <row r="842" spans="1:28" x14ac:dyDescent="0.2">
      <c r="C842" s="23" t="s">
        <v>1133</v>
      </c>
      <c r="D842" s="23">
        <f>Source!BS285</f>
        <v>6.71</v>
      </c>
    </row>
    <row r="843" spans="1:28" x14ac:dyDescent="0.2">
      <c r="C843" s="23" t="s">
        <v>1140</v>
      </c>
      <c r="D843" s="88" t="s">
        <v>443</v>
      </c>
      <c r="E843" s="88"/>
      <c r="F843" s="88"/>
      <c r="G843" s="88"/>
      <c r="H843" s="88"/>
    </row>
    <row r="844" spans="1:28" x14ac:dyDescent="0.2">
      <c r="C844" s="23" t="s">
        <v>1141</v>
      </c>
      <c r="D844" s="88" t="s">
        <v>443</v>
      </c>
      <c r="E844" s="88"/>
      <c r="F844" s="88"/>
      <c r="G844" s="88"/>
      <c r="H844" s="88"/>
    </row>
    <row r="845" spans="1:28" x14ac:dyDescent="0.2">
      <c r="C845" s="23" t="s">
        <v>1142</v>
      </c>
      <c r="D845" s="88" t="s">
        <v>443</v>
      </c>
      <c r="E845" s="88"/>
      <c r="F845" s="88"/>
      <c r="G845" s="88"/>
      <c r="H845" s="88"/>
    </row>
    <row r="846" spans="1:28" x14ac:dyDescent="0.2">
      <c r="C846" s="23" t="s">
        <v>1143</v>
      </c>
      <c r="D846" s="88" t="s">
        <v>443</v>
      </c>
      <c r="E846" s="88"/>
      <c r="F846" s="88"/>
      <c r="G846" s="88"/>
      <c r="H846" s="88"/>
    </row>
    <row r="847" spans="1:28" x14ac:dyDescent="0.2">
      <c r="C847" s="23" t="s">
        <v>1144</v>
      </c>
      <c r="D847" s="88" t="s">
        <v>443</v>
      </c>
      <c r="E847" s="88"/>
      <c r="F847" s="88"/>
      <c r="G847" s="88"/>
      <c r="H847" s="88"/>
    </row>
    <row r="848" spans="1:28" x14ac:dyDescent="0.2">
      <c r="C848" s="9" t="s">
        <v>1134</v>
      </c>
      <c r="D848" s="34"/>
      <c r="E848" s="34"/>
      <c r="F848" s="34">
        <f>Source!BZ285</f>
        <v>128</v>
      </c>
      <c r="G848" s="57">
        <f>(Source!AF285+Source!AE285)*Source!FX285/100</f>
        <v>123.10272000000001</v>
      </c>
      <c r="H848" s="57">
        <f>Source!X285</f>
        <v>247.38</v>
      </c>
    </row>
    <row r="849" spans="1:28" x14ac:dyDescent="0.2">
      <c r="C849" s="9" t="s">
        <v>1135</v>
      </c>
      <c r="D849" s="34"/>
      <c r="E849" s="34"/>
      <c r="F849" s="34"/>
      <c r="G849" s="34" t="str">
        <f>CONCATENATE(Source!DL285,Source!FT285, "=", Source!FX285, "%")</f>
        <v>*0,9=115,2%</v>
      </c>
      <c r="H849" s="34" t="str">
        <f>CONCATENATE(Source!AT285)</f>
        <v>115</v>
      </c>
    </row>
    <row r="850" spans="1:28" x14ac:dyDescent="0.2">
      <c r="C850" s="9" t="s">
        <v>1136</v>
      </c>
      <c r="D850" s="34"/>
      <c r="E850" s="34"/>
      <c r="F850" s="34">
        <f>Source!CA285</f>
        <v>83</v>
      </c>
      <c r="G850" s="57">
        <f>(Source!AF285+Source!AE285)*Source!FY285/100</f>
        <v>75.38973</v>
      </c>
      <c r="H850" s="57">
        <f>Source!Y285</f>
        <v>152.72999999999999</v>
      </c>
    </row>
    <row r="851" spans="1:28" x14ac:dyDescent="0.2">
      <c r="C851" s="9" t="s">
        <v>1137</v>
      </c>
      <c r="D851" s="34"/>
      <c r="E851" s="34"/>
      <c r="F851" s="34"/>
      <c r="G851" s="34" t="str">
        <f>CONCATENATE(Source!DM285,Source!FU285, "=", Source!FY285, "%")</f>
        <v>*0,85=70,55%</v>
      </c>
      <c r="H851" s="34" t="str">
        <f>CONCATENATE(Source!AU285)</f>
        <v>71</v>
      </c>
    </row>
    <row r="852" spans="1:28" x14ac:dyDescent="0.2">
      <c r="C852" s="9" t="s">
        <v>1138</v>
      </c>
      <c r="D852" s="34"/>
      <c r="E852" s="34"/>
      <c r="F852" s="34"/>
      <c r="G852" s="57">
        <f>((Source!AF285+Source!AE285)*Source!FX285/100)+((Source!AF285+Source!AE285)*Source!FY285/100)+Source!AB285</f>
        <v>371.83244999999999</v>
      </c>
      <c r="H852" s="57">
        <f>Source!O285+Source!X285+Source!Y285</f>
        <v>749.05</v>
      </c>
    </row>
    <row r="853" spans="1:28" ht="99.75" x14ac:dyDescent="0.2">
      <c r="A853" s="46">
        <v>122</v>
      </c>
      <c r="B853" s="46" t="str">
        <f>Source!E286</f>
        <v>54,1</v>
      </c>
      <c r="C853" s="46" t="str">
        <f>Source!G286</f>
        <v>Умывальники полуфарфоровые и фарфоровые с кронштейнами, сифоном бутылочным латунным и выпуском, трапециевидные со встроенными установочными поверхностями без спинки размером 700х600х150 мм</v>
      </c>
      <c r="D853" s="46" t="str">
        <f>Source!F286</f>
        <v>18.2.01.05-0088</v>
      </c>
      <c r="E853" s="31" t="str">
        <f>Source!H286</f>
        <v>компл.</v>
      </c>
      <c r="F853" s="12">
        <f>Source!I286</f>
        <v>3</v>
      </c>
      <c r="G853" s="22">
        <f>Source!AB286</f>
        <v>324.39</v>
      </c>
      <c r="H853" s="22">
        <f>Source!O286</f>
        <v>6529.97</v>
      </c>
      <c r="T853">
        <f>Source!O286+Source!X286+Source!Y286</f>
        <v>6529.97</v>
      </c>
      <c r="U853">
        <f>Source!P286</f>
        <v>6529.97</v>
      </c>
      <c r="V853">
        <f>Source!S286</f>
        <v>0</v>
      </c>
      <c r="W853">
        <f>Source!Q286</f>
        <v>0</v>
      </c>
      <c r="X853">
        <f>Source!R286</f>
        <v>0</v>
      </c>
      <c r="Y853">
        <f>Source!U286</f>
        <v>0</v>
      </c>
      <c r="Z853">
        <f>Source!V286</f>
        <v>0</v>
      </c>
      <c r="AA853">
        <f>Source!X286</f>
        <v>0</v>
      </c>
      <c r="AB853">
        <f>Source!Y286</f>
        <v>0</v>
      </c>
    </row>
    <row r="854" spans="1:28" ht="14.25" x14ac:dyDescent="0.2">
      <c r="C854" s="23" t="s">
        <v>1132</v>
      </c>
      <c r="D854" s="23">
        <f>Source!BC286</f>
        <v>6.71</v>
      </c>
      <c r="F854" s="12"/>
      <c r="G854" s="12"/>
      <c r="H854" s="12"/>
    </row>
    <row r="855" spans="1:28" ht="14.25" x14ac:dyDescent="0.2">
      <c r="A855" s="46">
        <v>123</v>
      </c>
      <c r="B855" s="46" t="str">
        <f>Source!E287</f>
        <v>54,2</v>
      </c>
      <c r="C855" s="46" t="str">
        <f>Source!G287</f>
        <v>Приборы санитарно-технические</v>
      </c>
      <c r="D855" s="46" t="str">
        <f>Source!F287</f>
        <v>18.2.06.12</v>
      </c>
      <c r="E855" s="31" t="str">
        <f>Source!H287</f>
        <v>компл.</v>
      </c>
      <c r="F855" s="12">
        <f>Source!I287</f>
        <v>3</v>
      </c>
      <c r="G855" s="22">
        <f>Source!AB287</f>
        <v>0</v>
      </c>
      <c r="H855" s="22">
        <f>Source!O287</f>
        <v>0</v>
      </c>
      <c r="T855">
        <f>Source!O287+Source!X287+Source!Y287</f>
        <v>0</v>
      </c>
      <c r="U855">
        <f>Source!P287</f>
        <v>0</v>
      </c>
      <c r="V855">
        <f>Source!S287</f>
        <v>0</v>
      </c>
      <c r="W855">
        <f>Source!Q287</f>
        <v>0</v>
      </c>
      <c r="X855">
        <f>Source!R287</f>
        <v>0</v>
      </c>
      <c r="Y855">
        <f>Source!U287</f>
        <v>0</v>
      </c>
      <c r="Z855">
        <f>Source!V287</f>
        <v>0</v>
      </c>
      <c r="AA855">
        <f>Source!X287</f>
        <v>0</v>
      </c>
      <c r="AB855">
        <f>Source!Y287</f>
        <v>0</v>
      </c>
    </row>
    <row r="856" spans="1:28" ht="14.25" x14ac:dyDescent="0.2">
      <c r="C856" s="23" t="s">
        <v>1132</v>
      </c>
      <c r="D856" s="23">
        <f>Source!BC287</f>
        <v>6.71</v>
      </c>
      <c r="F856" s="12"/>
      <c r="G856" s="12"/>
      <c r="H856" s="12"/>
    </row>
    <row r="857" spans="1:28" ht="28.5" x14ac:dyDescent="0.2">
      <c r="A857" s="46">
        <v>124</v>
      </c>
      <c r="B857" s="46" t="str">
        <f>Source!E288</f>
        <v>55</v>
      </c>
      <c r="C857" s="46" t="str">
        <f>Source!G288</f>
        <v>Установка смесителей</v>
      </c>
      <c r="D857" s="46" t="str">
        <f>Source!F288</f>
        <v>17-01-002-03</v>
      </c>
      <c r="E857" s="31" t="str">
        <f>Source!H288</f>
        <v>10 ШТ</v>
      </c>
      <c r="F857" s="12">
        <f>Source!I288</f>
        <v>0.3</v>
      </c>
      <c r="G857" s="22">
        <f>Source!AB288</f>
        <v>91.79</v>
      </c>
      <c r="H857" s="22">
        <f>Source!O288</f>
        <v>184.77</v>
      </c>
      <c r="T857">
        <f>Source!O288+Source!X288+Source!Y288</f>
        <v>487.34000000000003</v>
      </c>
      <c r="U857">
        <f>Source!P288</f>
        <v>22.1</v>
      </c>
      <c r="V857">
        <f>Source!S288</f>
        <v>162.66999999999999</v>
      </c>
      <c r="W857">
        <f>Source!Q288</f>
        <v>0</v>
      </c>
      <c r="X857">
        <f>Source!R288</f>
        <v>0</v>
      </c>
      <c r="Y857">
        <f>Source!U288</f>
        <v>2.52</v>
      </c>
      <c r="Z857">
        <f>Source!V288</f>
        <v>0</v>
      </c>
      <c r="AA857">
        <f>Source!X288</f>
        <v>187.07</v>
      </c>
      <c r="AB857">
        <f>Source!Y288</f>
        <v>115.5</v>
      </c>
    </row>
    <row r="858" spans="1:28" ht="14.25" x14ac:dyDescent="0.2">
      <c r="C858" s="23" t="str">
        <f>"Объем: "&amp;Source!I288&amp;"=3/"&amp;"10"</f>
        <v>Объем: 0,3=3/10</v>
      </c>
      <c r="F858" s="12"/>
      <c r="G858" s="12"/>
      <c r="H858" s="12"/>
    </row>
    <row r="859" spans="1:28" x14ac:dyDescent="0.2">
      <c r="C859" s="23" t="s">
        <v>1130</v>
      </c>
      <c r="D859" s="23">
        <f>Source!BA288</f>
        <v>6.71</v>
      </c>
    </row>
    <row r="860" spans="1:28" x14ac:dyDescent="0.2">
      <c r="C860" s="23" t="s">
        <v>1131</v>
      </c>
      <c r="D860" s="23">
        <f>Source!BB288</f>
        <v>6.71</v>
      </c>
    </row>
    <row r="861" spans="1:28" x14ac:dyDescent="0.2">
      <c r="C861" s="23" t="s">
        <v>1132</v>
      </c>
      <c r="D861" s="23">
        <f>Source!BC288</f>
        <v>6.71</v>
      </c>
    </row>
    <row r="862" spans="1:28" x14ac:dyDescent="0.2">
      <c r="C862" s="23" t="s">
        <v>1133</v>
      </c>
      <c r="D862" s="23">
        <f>Source!BS288</f>
        <v>6.71</v>
      </c>
    </row>
    <row r="863" spans="1:28" x14ac:dyDescent="0.2">
      <c r="C863" s="23" t="s">
        <v>1140</v>
      </c>
      <c r="D863" s="88" t="s">
        <v>443</v>
      </c>
      <c r="E863" s="88"/>
      <c r="F863" s="88"/>
      <c r="G863" s="88"/>
      <c r="H863" s="88"/>
    </row>
    <row r="864" spans="1:28" x14ac:dyDescent="0.2">
      <c r="C864" s="23" t="s">
        <v>1141</v>
      </c>
      <c r="D864" s="88" t="s">
        <v>443</v>
      </c>
      <c r="E864" s="88"/>
      <c r="F864" s="88"/>
      <c r="G864" s="88"/>
      <c r="H864" s="88"/>
    </row>
    <row r="865" spans="1:28" x14ac:dyDescent="0.2">
      <c r="C865" s="23" t="s">
        <v>1142</v>
      </c>
      <c r="D865" s="88" t="s">
        <v>443</v>
      </c>
      <c r="E865" s="88"/>
      <c r="F865" s="88"/>
      <c r="G865" s="88"/>
      <c r="H865" s="88"/>
    </row>
    <row r="866" spans="1:28" x14ac:dyDescent="0.2">
      <c r="C866" s="23" t="s">
        <v>1143</v>
      </c>
      <c r="D866" s="88" t="s">
        <v>443</v>
      </c>
      <c r="E866" s="88"/>
      <c r="F866" s="88"/>
      <c r="G866" s="88"/>
      <c r="H866" s="88"/>
    </row>
    <row r="867" spans="1:28" x14ac:dyDescent="0.2">
      <c r="C867" s="23" t="s">
        <v>1144</v>
      </c>
      <c r="D867" s="88" t="s">
        <v>443</v>
      </c>
      <c r="E867" s="88"/>
      <c r="F867" s="88"/>
      <c r="G867" s="88"/>
      <c r="H867" s="88"/>
    </row>
    <row r="868" spans="1:28" x14ac:dyDescent="0.2">
      <c r="C868" s="9" t="s">
        <v>1134</v>
      </c>
      <c r="D868" s="34"/>
      <c r="E868" s="34"/>
      <c r="F868" s="34">
        <f>Source!BZ288</f>
        <v>128</v>
      </c>
      <c r="G868" s="57">
        <f>(Source!AF288+Source!AE288)*Source!FX288/100</f>
        <v>93.093119999999999</v>
      </c>
      <c r="H868" s="57">
        <f>Source!X288</f>
        <v>187.07</v>
      </c>
    </row>
    <row r="869" spans="1:28" x14ac:dyDescent="0.2">
      <c r="C869" s="9" t="s">
        <v>1135</v>
      </c>
      <c r="D869" s="34"/>
      <c r="E869" s="34"/>
      <c r="F869" s="34"/>
      <c r="G869" s="34" t="str">
        <f>CONCATENATE(Source!DL288,Source!FT288, "=", Source!FX288, "%")</f>
        <v>*0,9=115,2%</v>
      </c>
      <c r="H869" s="34" t="str">
        <f>CONCATENATE(Source!AT288)</f>
        <v>115</v>
      </c>
    </row>
    <row r="870" spans="1:28" x14ac:dyDescent="0.2">
      <c r="C870" s="9" t="s">
        <v>1136</v>
      </c>
      <c r="D870" s="34"/>
      <c r="E870" s="34"/>
      <c r="F870" s="34">
        <f>Source!CA288</f>
        <v>83</v>
      </c>
      <c r="G870" s="57">
        <f>(Source!AF288+Source!AE288)*Source!FY288/100</f>
        <v>57.011454999999998</v>
      </c>
      <c r="H870" s="57">
        <f>Source!Y288</f>
        <v>115.5</v>
      </c>
    </row>
    <row r="871" spans="1:28" x14ac:dyDescent="0.2">
      <c r="C871" s="9" t="s">
        <v>1137</v>
      </c>
      <c r="D871" s="34"/>
      <c r="E871" s="34"/>
      <c r="F871" s="34"/>
      <c r="G871" s="34" t="str">
        <f>CONCATENATE(Source!DM288,Source!FU288, "=", Source!FY288, "%")</f>
        <v>*0,85=70,55%</v>
      </c>
      <c r="H871" s="34" t="str">
        <f>CONCATENATE(Source!AU288)</f>
        <v>71</v>
      </c>
    </row>
    <row r="872" spans="1:28" x14ac:dyDescent="0.2">
      <c r="C872" s="9" t="s">
        <v>1138</v>
      </c>
      <c r="D872" s="34"/>
      <c r="E872" s="34"/>
      <c r="F872" s="34"/>
      <c r="G872" s="57">
        <f>((Source!AF288+Source!AE288)*Source!FX288/100)+((Source!AF288+Source!AE288)*Source!FY288/100)+Source!AB288</f>
        <v>241.89457500000003</v>
      </c>
      <c r="H872" s="57">
        <f>Source!O288+Source!X288+Source!Y288</f>
        <v>487.34000000000003</v>
      </c>
    </row>
    <row r="873" spans="1:28" ht="42.75" x14ac:dyDescent="0.2">
      <c r="A873" s="46">
        <v>125</v>
      </c>
      <c r="B873" s="46" t="str">
        <f>Source!E289</f>
        <v>55,1</v>
      </c>
      <c r="C873" s="46" t="str">
        <f>Source!G289</f>
        <v>Смесители для умывальников СМ-УМ-ЦА-УВ центральные, с аэратором, латунными маховичками</v>
      </c>
      <c r="D873" s="46" t="str">
        <f>Source!F289</f>
        <v>18.1.10.10-0046</v>
      </c>
      <c r="E873" s="31" t="str">
        <f>Source!H289</f>
        <v>компл.</v>
      </c>
      <c r="F873" s="12">
        <f>Source!I289</f>
        <v>3</v>
      </c>
      <c r="G873" s="22">
        <f>Source!AB289</f>
        <v>310.25</v>
      </c>
      <c r="H873" s="22">
        <f>Source!O289</f>
        <v>6245.33</v>
      </c>
      <c r="T873">
        <f>Source!O289+Source!X289+Source!Y289</f>
        <v>6245.33</v>
      </c>
      <c r="U873">
        <f>Source!P289</f>
        <v>6245.33</v>
      </c>
      <c r="V873">
        <f>Source!S289</f>
        <v>0</v>
      </c>
      <c r="W873">
        <f>Source!Q289</f>
        <v>0</v>
      </c>
      <c r="X873">
        <f>Source!R289</f>
        <v>0</v>
      </c>
      <c r="Y873">
        <f>Source!U289</f>
        <v>0</v>
      </c>
      <c r="Z873">
        <f>Source!V289</f>
        <v>0</v>
      </c>
      <c r="AA873">
        <f>Source!X289</f>
        <v>0</v>
      </c>
      <c r="AB873">
        <f>Source!Y289</f>
        <v>0</v>
      </c>
    </row>
    <row r="874" spans="1:28" ht="14.25" x14ac:dyDescent="0.2">
      <c r="C874" s="23" t="s">
        <v>1132</v>
      </c>
      <c r="D874" s="23">
        <f>Source!BC289</f>
        <v>6.71</v>
      </c>
      <c r="F874" s="12"/>
      <c r="G874" s="12"/>
      <c r="H874" s="12"/>
    </row>
    <row r="875" spans="1:28" ht="14.25" x14ac:dyDescent="0.2">
      <c r="A875" s="46">
        <v>126</v>
      </c>
      <c r="B875" s="46" t="str">
        <f>Source!E290</f>
        <v>55,2</v>
      </c>
      <c r="C875" s="46" t="str">
        <f>Source!G290</f>
        <v>Смесители</v>
      </c>
      <c r="D875" s="46" t="str">
        <f>Source!F290</f>
        <v>18.1.10.10</v>
      </c>
      <c r="E875" s="31" t="str">
        <f>Source!H290</f>
        <v>шт.</v>
      </c>
      <c r="F875" s="12">
        <f>Source!I290</f>
        <v>3</v>
      </c>
      <c r="G875" s="22">
        <f>Source!AB290</f>
        <v>0</v>
      </c>
      <c r="H875" s="22">
        <f>Source!O290</f>
        <v>0</v>
      </c>
      <c r="T875">
        <f>Source!O290+Source!X290+Source!Y290</f>
        <v>0</v>
      </c>
      <c r="U875">
        <f>Source!P290</f>
        <v>0</v>
      </c>
      <c r="V875">
        <f>Source!S290</f>
        <v>0</v>
      </c>
      <c r="W875">
        <f>Source!Q290</f>
        <v>0</v>
      </c>
      <c r="X875">
        <f>Source!R290</f>
        <v>0</v>
      </c>
      <c r="Y875">
        <f>Source!U290</f>
        <v>0</v>
      </c>
      <c r="Z875">
        <f>Source!V290</f>
        <v>0</v>
      </c>
      <c r="AA875">
        <f>Source!X290</f>
        <v>0</v>
      </c>
      <c r="AB875">
        <f>Source!Y290</f>
        <v>0</v>
      </c>
    </row>
    <row r="876" spans="1:28" ht="14.25" x14ac:dyDescent="0.2">
      <c r="C876" s="23" t="s">
        <v>1132</v>
      </c>
      <c r="D876" s="23">
        <f>Source!BC290</f>
        <v>6.71</v>
      </c>
      <c r="F876" s="12"/>
      <c r="G876" s="12"/>
      <c r="H876" s="12"/>
    </row>
    <row r="877" spans="1:28" ht="42.75" x14ac:dyDescent="0.2">
      <c r="A877" s="46">
        <v>127</v>
      </c>
      <c r="B877" s="46" t="str">
        <f>Source!E291</f>
        <v>56</v>
      </c>
      <c r="C877" s="46" t="str">
        <f>Source!G291</f>
        <v>Прокладка внутренних трубопроводов водоснабжения и отопления из полипропиленовых труб до 20 мм</v>
      </c>
      <c r="D877" s="46" t="str">
        <f>Source!F291</f>
        <v>16-04-005-01</v>
      </c>
      <c r="E877" s="31" t="str">
        <f>Source!H291</f>
        <v>100 м</v>
      </c>
      <c r="F877" s="12">
        <f>Source!I291</f>
        <v>0.12</v>
      </c>
      <c r="G877" s="22">
        <f>Source!AB291</f>
        <v>1706.26</v>
      </c>
      <c r="H877" s="22">
        <f>Source!O291</f>
        <v>1373.89</v>
      </c>
      <c r="T877">
        <f>Source!O291+Source!X291+Source!Y291</f>
        <v>3031.0699999999997</v>
      </c>
      <c r="U877">
        <f>Source!P291</f>
        <v>30.57</v>
      </c>
      <c r="V877">
        <f>Source!S291</f>
        <v>890.87</v>
      </c>
      <c r="W877">
        <f>Source!Q291</f>
        <v>452.45</v>
      </c>
      <c r="X877">
        <f>Source!R291</f>
        <v>0.09</v>
      </c>
      <c r="Y877">
        <f>Source!U291</f>
        <v>13.960800000000001</v>
      </c>
      <c r="Z877">
        <f>Source!V291</f>
        <v>1.4399999999999999E-3</v>
      </c>
      <c r="AA877">
        <f>Source!X291</f>
        <v>1024.5999999999999</v>
      </c>
      <c r="AB877">
        <f>Source!Y291</f>
        <v>632.58000000000004</v>
      </c>
    </row>
    <row r="878" spans="1:28" ht="14.25" x14ac:dyDescent="0.2">
      <c r="C878" s="23" t="str">
        <f>"Объем: "&amp;Source!I291&amp;"=12/"&amp;"100"</f>
        <v>Объем: 0,12=12/100</v>
      </c>
      <c r="F878" s="12"/>
      <c r="G878" s="12"/>
      <c r="H878" s="12"/>
    </row>
    <row r="879" spans="1:28" x14ac:dyDescent="0.2">
      <c r="C879" s="23" t="s">
        <v>1130</v>
      </c>
      <c r="D879" s="23">
        <f>Source!BA291</f>
        <v>6.71</v>
      </c>
    </row>
    <row r="880" spans="1:28" x14ac:dyDescent="0.2">
      <c r="C880" s="23" t="s">
        <v>1131</v>
      </c>
      <c r="D880" s="23">
        <f>Source!BB291</f>
        <v>6.71</v>
      </c>
    </row>
    <row r="881" spans="1:28" x14ac:dyDescent="0.2">
      <c r="C881" s="23" t="s">
        <v>1132</v>
      </c>
      <c r="D881" s="23">
        <f>Source!BC291</f>
        <v>6.71</v>
      </c>
    </row>
    <row r="882" spans="1:28" x14ac:dyDescent="0.2">
      <c r="C882" s="23" t="s">
        <v>1133</v>
      </c>
      <c r="D882" s="23">
        <f>Source!BS291</f>
        <v>6.71</v>
      </c>
    </row>
    <row r="883" spans="1:28" x14ac:dyDescent="0.2">
      <c r="C883" s="23" t="s">
        <v>1140</v>
      </c>
      <c r="D883" s="88" t="s">
        <v>443</v>
      </c>
      <c r="E883" s="88"/>
      <c r="F883" s="88"/>
      <c r="G883" s="88"/>
      <c r="H883" s="88"/>
    </row>
    <row r="884" spans="1:28" x14ac:dyDescent="0.2">
      <c r="C884" s="23" t="s">
        <v>1141</v>
      </c>
      <c r="D884" s="88" t="s">
        <v>443</v>
      </c>
      <c r="E884" s="88"/>
      <c r="F884" s="88"/>
      <c r="G884" s="88"/>
      <c r="H884" s="88"/>
    </row>
    <row r="885" spans="1:28" x14ac:dyDescent="0.2">
      <c r="C885" s="23" t="s">
        <v>1142</v>
      </c>
      <c r="D885" s="88" t="s">
        <v>443</v>
      </c>
      <c r="E885" s="88"/>
      <c r="F885" s="88"/>
      <c r="G885" s="88"/>
      <c r="H885" s="88"/>
    </row>
    <row r="886" spans="1:28" x14ac:dyDescent="0.2">
      <c r="C886" s="23" t="s">
        <v>1143</v>
      </c>
      <c r="D886" s="88" t="s">
        <v>443</v>
      </c>
      <c r="E886" s="88"/>
      <c r="F886" s="88"/>
      <c r="G886" s="88"/>
      <c r="H886" s="88"/>
    </row>
    <row r="887" spans="1:28" x14ac:dyDescent="0.2">
      <c r="C887" s="23" t="s">
        <v>1144</v>
      </c>
      <c r="D887" s="88" t="s">
        <v>443</v>
      </c>
      <c r="E887" s="88"/>
      <c r="F887" s="88"/>
      <c r="G887" s="88"/>
      <c r="H887" s="88"/>
    </row>
    <row r="888" spans="1:28" x14ac:dyDescent="0.2">
      <c r="C888" s="9" t="s">
        <v>1134</v>
      </c>
      <c r="D888" s="34"/>
      <c r="E888" s="34"/>
      <c r="F888" s="34">
        <f>Source!BZ291</f>
        <v>128</v>
      </c>
      <c r="G888" s="57">
        <f>(Source!AF291+Source!AE291)*Source!FX291/100</f>
        <v>1274.6880000000001</v>
      </c>
      <c r="H888" s="57">
        <f>Source!X291</f>
        <v>1024.5999999999999</v>
      </c>
    </row>
    <row r="889" spans="1:28" x14ac:dyDescent="0.2">
      <c r="C889" s="9" t="s">
        <v>1135</v>
      </c>
      <c r="D889" s="34"/>
      <c r="E889" s="34"/>
      <c r="F889" s="34"/>
      <c r="G889" s="34" t="str">
        <f>CONCATENATE(Source!DL291,Source!FT291, "=", Source!FX291, "%")</f>
        <v>*0,9=115,2%</v>
      </c>
      <c r="H889" s="34" t="str">
        <f>CONCATENATE(Source!AT291)</f>
        <v>115</v>
      </c>
    </row>
    <row r="890" spans="1:28" x14ac:dyDescent="0.2">
      <c r="C890" s="9" t="s">
        <v>1136</v>
      </c>
      <c r="D890" s="34"/>
      <c r="E890" s="34"/>
      <c r="F890" s="34">
        <f>Source!CA291</f>
        <v>83</v>
      </c>
      <c r="G890" s="57">
        <f>(Source!AF291+Source!AE291)*Source!FY291/100</f>
        <v>780.63574999999992</v>
      </c>
      <c r="H890" s="57">
        <f>Source!Y291</f>
        <v>632.58000000000004</v>
      </c>
    </row>
    <row r="891" spans="1:28" x14ac:dyDescent="0.2">
      <c r="C891" s="9" t="s">
        <v>1137</v>
      </c>
      <c r="D891" s="34"/>
      <c r="E891" s="34"/>
      <c r="F891" s="34"/>
      <c r="G891" s="34" t="str">
        <f>CONCATENATE(Source!DM291,Source!FU291, "=", Source!FY291, "%")</f>
        <v>*0,85=70,55%</v>
      </c>
      <c r="H891" s="34" t="str">
        <f>CONCATENATE(Source!AU291)</f>
        <v>71</v>
      </c>
    </row>
    <row r="892" spans="1:28" x14ac:dyDescent="0.2">
      <c r="C892" s="9" t="s">
        <v>1138</v>
      </c>
      <c r="D892" s="34"/>
      <c r="E892" s="34"/>
      <c r="F892" s="34"/>
      <c r="G892" s="57">
        <f>((Source!AF291+Source!AE291)*Source!FX291/100)+((Source!AF291+Source!AE291)*Source!FY291/100)+Source!AB291</f>
        <v>3761.5837499999998</v>
      </c>
      <c r="H892" s="57">
        <f>Source!O291+Source!X291+Source!Y291</f>
        <v>3031.0699999999997</v>
      </c>
    </row>
    <row r="893" spans="1:28" ht="28.5" x14ac:dyDescent="0.2">
      <c r="A893" s="46">
        <v>128</v>
      </c>
      <c r="B893" s="46" t="str">
        <f>Source!E292</f>
        <v>56,1</v>
      </c>
      <c r="C893" s="46" t="str">
        <f>Source!G292</f>
        <v>Хомут FGRS системы крепежа трубопроводов, размером 12-15 мм</v>
      </c>
      <c r="D893" s="46" t="str">
        <f>Source!F292</f>
        <v>24.1.02.01-0001</v>
      </c>
      <c r="E893" s="31" t="str">
        <f>Source!H292</f>
        <v>10 шт.</v>
      </c>
      <c r="F893" s="12">
        <f>Source!I292</f>
        <v>1.7</v>
      </c>
      <c r="G893" s="22">
        <f>Source!AB292</f>
        <v>91.9</v>
      </c>
      <c r="H893" s="22">
        <f>Source!O292</f>
        <v>1048.3</v>
      </c>
      <c r="T893">
        <f>Source!O292+Source!X292+Source!Y292</f>
        <v>1048.3</v>
      </c>
      <c r="U893">
        <f>Source!P292</f>
        <v>1048.3</v>
      </c>
      <c r="V893">
        <f>Source!S292</f>
        <v>0</v>
      </c>
      <c r="W893">
        <f>Source!Q292</f>
        <v>0</v>
      </c>
      <c r="X893">
        <f>Source!R292</f>
        <v>0</v>
      </c>
      <c r="Y893">
        <f>Source!U292</f>
        <v>0</v>
      </c>
      <c r="Z893">
        <f>Source!V292</f>
        <v>0</v>
      </c>
      <c r="AA893">
        <f>Source!X292</f>
        <v>0</v>
      </c>
      <c r="AB893">
        <f>Source!Y292</f>
        <v>0</v>
      </c>
    </row>
    <row r="894" spans="1:28" ht="14.25" x14ac:dyDescent="0.2">
      <c r="C894" s="23" t="s">
        <v>1132</v>
      </c>
      <c r="D894" s="23">
        <f>Source!BC292</f>
        <v>6.71</v>
      </c>
      <c r="F894" s="12"/>
      <c r="G894" s="12"/>
      <c r="H894" s="12"/>
    </row>
    <row r="895" spans="1:28" ht="14.25" x14ac:dyDescent="0.2">
      <c r="A895" s="46">
        <v>129</v>
      </c>
      <c r="B895" s="46" t="str">
        <f>Source!E293</f>
        <v>56,2</v>
      </c>
      <c r="C895" s="46" t="str">
        <f>Source!G293</f>
        <v>Хомуты для крепления труб</v>
      </c>
      <c r="D895" s="46" t="str">
        <f>Source!F293</f>
        <v>24.1.02.01</v>
      </c>
      <c r="E895" s="31" t="str">
        <f>Source!H293</f>
        <v>шт.</v>
      </c>
      <c r="F895" s="12">
        <f>Source!I293</f>
        <v>17</v>
      </c>
      <c r="G895" s="22">
        <f>Source!AB293</f>
        <v>0</v>
      </c>
      <c r="H895" s="22">
        <f>Source!O293</f>
        <v>0</v>
      </c>
      <c r="T895">
        <f>Source!O293+Source!X293+Source!Y293</f>
        <v>0</v>
      </c>
      <c r="U895">
        <f>Source!P293</f>
        <v>0</v>
      </c>
      <c r="V895">
        <f>Source!S293</f>
        <v>0</v>
      </c>
      <c r="W895">
        <f>Source!Q293</f>
        <v>0</v>
      </c>
      <c r="X895">
        <f>Source!R293</f>
        <v>0</v>
      </c>
      <c r="Y895">
        <f>Source!U293</f>
        <v>0</v>
      </c>
      <c r="Z895">
        <f>Source!V293</f>
        <v>0</v>
      </c>
      <c r="AA895">
        <f>Source!X293</f>
        <v>0</v>
      </c>
      <c r="AB895">
        <f>Source!Y293</f>
        <v>0</v>
      </c>
    </row>
    <row r="896" spans="1:28" ht="14.25" x14ac:dyDescent="0.2">
      <c r="C896" s="23" t="s">
        <v>1132</v>
      </c>
      <c r="D896" s="23">
        <f>Source!BC293</f>
        <v>6.71</v>
      </c>
      <c r="F896" s="12"/>
      <c r="G896" s="12"/>
      <c r="H896" s="12"/>
    </row>
    <row r="897" spans="1:28" ht="85.5" x14ac:dyDescent="0.2">
      <c r="A897" s="46">
        <v>130</v>
      </c>
      <c r="B897" s="46" t="str">
        <f>Source!E294</f>
        <v>56,3</v>
      </c>
      <c r="C897" s="46" t="str">
        <f>Source!G294</f>
        <v>Трубопроводы напорные из полипропилена PPRS с гильзами и креплениями для холодного и горячего водоснабжения PN20 SDR 6, диаметром 16 мм, толщина стенки 2,7 мм</v>
      </c>
      <c r="D897" s="46" t="str">
        <f>Source!F294</f>
        <v>24.3.02.01-0011</v>
      </c>
      <c r="E897" s="31" t="str">
        <f>Source!H294</f>
        <v>м</v>
      </c>
      <c r="F897" s="12">
        <f>Source!I294</f>
        <v>12.06</v>
      </c>
      <c r="G897" s="22">
        <f>Source!AB294</f>
        <v>6.59</v>
      </c>
      <c r="H897" s="22">
        <f>Source!O294</f>
        <v>533.28</v>
      </c>
      <c r="T897">
        <f>Source!O294+Source!X294+Source!Y294</f>
        <v>533.28</v>
      </c>
      <c r="U897">
        <f>Source!P294</f>
        <v>533.28</v>
      </c>
      <c r="V897">
        <f>Source!S294</f>
        <v>0</v>
      </c>
      <c r="W897">
        <f>Source!Q294</f>
        <v>0</v>
      </c>
      <c r="X897">
        <f>Source!R294</f>
        <v>0</v>
      </c>
      <c r="Y897">
        <f>Source!U294</f>
        <v>0</v>
      </c>
      <c r="Z897">
        <f>Source!V294</f>
        <v>0</v>
      </c>
      <c r="AA897">
        <f>Source!X294</f>
        <v>0</v>
      </c>
      <c r="AB897">
        <f>Source!Y294</f>
        <v>0</v>
      </c>
    </row>
    <row r="898" spans="1:28" ht="14.25" x14ac:dyDescent="0.2">
      <c r="C898" s="23" t="s">
        <v>1132</v>
      </c>
      <c r="D898" s="23">
        <f>Source!BC294</f>
        <v>6.71</v>
      </c>
      <c r="F898" s="12"/>
      <c r="G898" s="12"/>
      <c r="H898" s="12"/>
    </row>
    <row r="899" spans="1:28" ht="57" x14ac:dyDescent="0.2">
      <c r="A899" s="46">
        <v>131</v>
      </c>
      <c r="B899" s="46" t="str">
        <f>Source!E295</f>
        <v>57</v>
      </c>
      <c r="C899" s="46" t="str">
        <f>Source!G295</f>
        <v>Установка вентилей, задвижек, затворов, клапанов обратных, кранов проходных на трубопроводах из стальных труб диаметром до 25 мм</v>
      </c>
      <c r="D899" s="46" t="str">
        <f>Source!F295</f>
        <v>16-05-001-01</v>
      </c>
      <c r="E899" s="31" t="str">
        <f>Source!H295</f>
        <v>ШТ</v>
      </c>
      <c r="F899" s="12">
        <f>Source!I295</f>
        <v>6</v>
      </c>
      <c r="G899" s="22">
        <f>Source!AB295</f>
        <v>45.41</v>
      </c>
      <c r="H899" s="22">
        <f>Source!O295</f>
        <v>1828.2</v>
      </c>
      <c r="T899">
        <f>Source!O295+Source!X295+Source!Y295</f>
        <v>3036.8300000000004</v>
      </c>
      <c r="U899">
        <f>Source!P295</f>
        <v>1014.95</v>
      </c>
      <c r="V899">
        <f>Source!S295</f>
        <v>644.16</v>
      </c>
      <c r="W899">
        <f>Source!Q295</f>
        <v>169.09</v>
      </c>
      <c r="X899">
        <f>Source!R295</f>
        <v>5.64</v>
      </c>
      <c r="Y899">
        <f>Source!U295</f>
        <v>10.584</v>
      </c>
      <c r="Z899">
        <f>Source!V295</f>
        <v>7.2000000000000008E-2</v>
      </c>
      <c r="AA899">
        <f>Source!X295</f>
        <v>747.27</v>
      </c>
      <c r="AB899">
        <f>Source!Y295</f>
        <v>461.36</v>
      </c>
    </row>
    <row r="900" spans="1:28" ht="14.25" x14ac:dyDescent="0.2">
      <c r="C900" s="23" t="s">
        <v>1130</v>
      </c>
      <c r="D900" s="23">
        <f>Source!BA295</f>
        <v>6.71</v>
      </c>
      <c r="F900" s="12"/>
      <c r="G900" s="12"/>
      <c r="H900" s="12"/>
    </row>
    <row r="901" spans="1:28" x14ac:dyDescent="0.2">
      <c r="C901" s="23" t="s">
        <v>1131</v>
      </c>
      <c r="D901" s="23">
        <f>Source!BB295</f>
        <v>6.71</v>
      </c>
    </row>
    <row r="902" spans="1:28" x14ac:dyDescent="0.2">
      <c r="C902" s="23" t="s">
        <v>1132</v>
      </c>
      <c r="D902" s="23">
        <f>Source!BC295</f>
        <v>6.71</v>
      </c>
    </row>
    <row r="903" spans="1:28" x14ac:dyDescent="0.2">
      <c r="C903" s="23" t="s">
        <v>1133</v>
      </c>
      <c r="D903" s="23">
        <f>Source!BS295</f>
        <v>6.71</v>
      </c>
    </row>
    <row r="904" spans="1:28" x14ac:dyDescent="0.2">
      <c r="C904" s="23" t="s">
        <v>1140</v>
      </c>
      <c r="D904" s="88" t="s">
        <v>443</v>
      </c>
      <c r="E904" s="88"/>
      <c r="F904" s="88"/>
      <c r="G904" s="88"/>
      <c r="H904" s="88"/>
    </row>
    <row r="905" spans="1:28" x14ac:dyDescent="0.2">
      <c r="C905" s="23" t="s">
        <v>1141</v>
      </c>
      <c r="D905" s="88" t="s">
        <v>443</v>
      </c>
      <c r="E905" s="88"/>
      <c r="F905" s="88"/>
      <c r="G905" s="88"/>
      <c r="H905" s="88"/>
    </row>
    <row r="906" spans="1:28" x14ac:dyDescent="0.2">
      <c r="C906" s="23" t="s">
        <v>1142</v>
      </c>
      <c r="D906" s="88" t="s">
        <v>443</v>
      </c>
      <c r="E906" s="88"/>
      <c r="F906" s="88"/>
      <c r="G906" s="88"/>
      <c r="H906" s="88"/>
    </row>
    <row r="907" spans="1:28" x14ac:dyDescent="0.2">
      <c r="C907" s="23" t="s">
        <v>1143</v>
      </c>
      <c r="D907" s="88" t="s">
        <v>443</v>
      </c>
      <c r="E907" s="88"/>
      <c r="F907" s="88"/>
      <c r="G907" s="88"/>
      <c r="H907" s="88"/>
    </row>
    <row r="908" spans="1:28" x14ac:dyDescent="0.2">
      <c r="C908" s="23" t="s">
        <v>1144</v>
      </c>
      <c r="D908" s="88" t="s">
        <v>443</v>
      </c>
      <c r="E908" s="88"/>
      <c r="F908" s="88"/>
      <c r="G908" s="88"/>
      <c r="H908" s="88"/>
    </row>
    <row r="909" spans="1:28" x14ac:dyDescent="0.2">
      <c r="C909" s="9" t="s">
        <v>1134</v>
      </c>
      <c r="D909" s="34"/>
      <c r="E909" s="34"/>
      <c r="F909" s="34">
        <f>Source!BZ295</f>
        <v>128</v>
      </c>
      <c r="G909" s="57">
        <f>(Source!AF295+Source!AE295)*Source!FX295/100</f>
        <v>18.593280000000004</v>
      </c>
      <c r="H909" s="57">
        <f>Source!X295</f>
        <v>747.27</v>
      </c>
    </row>
    <row r="910" spans="1:28" x14ac:dyDescent="0.2">
      <c r="C910" s="9" t="s">
        <v>1135</v>
      </c>
      <c r="D910" s="34"/>
      <c r="E910" s="34"/>
      <c r="F910" s="34"/>
      <c r="G910" s="34" t="str">
        <f>CONCATENATE(Source!DL295,Source!FT295, "=", Source!FX295, "%")</f>
        <v>*0,9=115,2%</v>
      </c>
      <c r="H910" s="34" t="str">
        <f>CONCATENATE(Source!AT295)</f>
        <v>115</v>
      </c>
    </row>
    <row r="911" spans="1:28" x14ac:dyDescent="0.2">
      <c r="C911" s="9" t="s">
        <v>1136</v>
      </c>
      <c r="D911" s="34"/>
      <c r="E911" s="34"/>
      <c r="F911" s="34">
        <f>Source!CA295</f>
        <v>83</v>
      </c>
      <c r="G911" s="57">
        <f>(Source!AF295+Source!AE295)*Source!FY295/100</f>
        <v>11.386769999999999</v>
      </c>
      <c r="H911" s="57">
        <f>Source!Y295</f>
        <v>461.36</v>
      </c>
    </row>
    <row r="912" spans="1:28" x14ac:dyDescent="0.2">
      <c r="C912" s="9" t="s">
        <v>1137</v>
      </c>
      <c r="D912" s="34"/>
      <c r="E912" s="34"/>
      <c r="F912" s="34"/>
      <c r="G912" s="34" t="str">
        <f>CONCATENATE(Source!DM295,Source!FU295, "=", Source!FY295, "%")</f>
        <v>*0,85=70,55%</v>
      </c>
      <c r="H912" s="34" t="str">
        <f>CONCATENATE(Source!AU295)</f>
        <v>71</v>
      </c>
    </row>
    <row r="913" spans="1:28" x14ac:dyDescent="0.2">
      <c r="C913" s="9" t="s">
        <v>1138</v>
      </c>
      <c r="D913" s="34"/>
      <c r="E913" s="34"/>
      <c r="F913" s="34"/>
      <c r="G913" s="57">
        <f>((Source!AF295+Source!AE295)*Source!FX295/100)+((Source!AF295+Source!AE295)*Source!FY295/100)+Source!AB295</f>
        <v>75.390050000000002</v>
      </c>
      <c r="H913" s="57">
        <f>Source!O295+Source!X295+Source!Y295</f>
        <v>3036.8300000000004</v>
      </c>
    </row>
    <row r="914" spans="1:28" ht="28.5" x14ac:dyDescent="0.2">
      <c r="A914" s="46">
        <v>132</v>
      </c>
      <c r="B914" s="46" t="str">
        <f>Source!E296</f>
        <v>57,1</v>
      </c>
      <c r="C914" s="46" t="str">
        <f>Source!G296</f>
        <v>Кран шаровый муфтовый Valtec для воды диаметром 15 мм, тип в/в</v>
      </c>
      <c r="D914" s="46" t="str">
        <f>Source!F296</f>
        <v>18.1.09.06-0063</v>
      </c>
      <c r="E914" s="31" t="str">
        <f>Source!H296</f>
        <v>шт.</v>
      </c>
      <c r="F914" s="12">
        <f>Source!I296</f>
        <v>6</v>
      </c>
      <c r="G914" s="22">
        <f>Source!AB296</f>
        <v>27.2</v>
      </c>
      <c r="H914" s="22">
        <f>Source!O296</f>
        <v>1095.07</v>
      </c>
      <c r="T914">
        <f>Source!O296+Source!X296+Source!Y296</f>
        <v>1095.07</v>
      </c>
      <c r="U914">
        <f>Source!P296</f>
        <v>1095.07</v>
      </c>
      <c r="V914">
        <f>Source!S296</f>
        <v>0</v>
      </c>
      <c r="W914">
        <f>Source!Q296</f>
        <v>0</v>
      </c>
      <c r="X914">
        <f>Source!R296</f>
        <v>0</v>
      </c>
      <c r="Y914">
        <f>Source!U296</f>
        <v>0</v>
      </c>
      <c r="Z914">
        <f>Source!V296</f>
        <v>0</v>
      </c>
      <c r="AA914">
        <f>Source!X296</f>
        <v>0</v>
      </c>
      <c r="AB914">
        <f>Source!Y296</f>
        <v>0</v>
      </c>
    </row>
    <row r="915" spans="1:28" ht="14.25" x14ac:dyDescent="0.2">
      <c r="C915" s="23" t="s">
        <v>1132</v>
      </c>
      <c r="D915" s="23">
        <f>Source!BC296</f>
        <v>6.71</v>
      </c>
      <c r="F915" s="12"/>
      <c r="G915" s="12"/>
      <c r="H915" s="12"/>
    </row>
    <row r="916" spans="1:28" ht="71.25" x14ac:dyDescent="0.2">
      <c r="A916" s="46">
        <v>133</v>
      </c>
      <c r="B916" s="46" t="str">
        <f>Source!E297</f>
        <v>58</v>
      </c>
      <c r="C916" s="46" t="str">
        <f>Source!G297</f>
        <v>Аппарат штепсельный общего назначения, устанавливаемый на конструкции на стене или колонне, с контактами силовых цепей на ток до 63 А</v>
      </c>
      <c r="D916" s="46" t="str">
        <f>Source!F297</f>
        <v>м08-03-525-09</v>
      </c>
      <c r="E916" s="31" t="str">
        <f>Source!H297</f>
        <v>КОМПЛ</v>
      </c>
      <c r="F916" s="12">
        <f>Source!I297</f>
        <v>3</v>
      </c>
      <c r="G916" s="22">
        <f>Source!AB297</f>
        <v>70.23</v>
      </c>
      <c r="H916" s="22">
        <f>Source!O297</f>
        <v>1413.72</v>
      </c>
      <c r="T916">
        <f>Source!O297+Source!X297+Source!Y297</f>
        <v>2249.83</v>
      </c>
      <c r="U916">
        <f>Source!P297</f>
        <v>876.86</v>
      </c>
      <c r="V916">
        <f>Source!S297</f>
        <v>522.57000000000005</v>
      </c>
      <c r="W916">
        <f>Source!Q297</f>
        <v>14.29</v>
      </c>
      <c r="X916">
        <f>Source!R297</f>
        <v>0</v>
      </c>
      <c r="Y916">
        <f>Source!U297</f>
        <v>7.5239999999999991</v>
      </c>
      <c r="Z916">
        <f>Source!V297</f>
        <v>0</v>
      </c>
      <c r="AA916">
        <f>Source!X297</f>
        <v>496.44</v>
      </c>
      <c r="AB916">
        <f>Source!Y297</f>
        <v>339.67</v>
      </c>
    </row>
    <row r="917" spans="1:28" ht="14.25" x14ac:dyDescent="0.2">
      <c r="C917" s="23" t="s">
        <v>1130</v>
      </c>
      <c r="D917" s="23">
        <f>Source!BA297</f>
        <v>6.71</v>
      </c>
      <c r="F917" s="12"/>
      <c r="G917" s="12"/>
      <c r="H917" s="12"/>
    </row>
    <row r="918" spans="1:28" x14ac:dyDescent="0.2">
      <c r="C918" s="23" t="s">
        <v>1131</v>
      </c>
      <c r="D918" s="23">
        <f>Source!BB297</f>
        <v>6.71</v>
      </c>
    </row>
    <row r="919" spans="1:28" x14ac:dyDescent="0.2">
      <c r="C919" s="23" t="s">
        <v>1132</v>
      </c>
      <c r="D919" s="23">
        <f>Source!BC297</f>
        <v>6.71</v>
      </c>
    </row>
    <row r="920" spans="1:28" x14ac:dyDescent="0.2">
      <c r="C920" s="23" t="s">
        <v>1133</v>
      </c>
      <c r="D920" s="23">
        <f>Source!BS297</f>
        <v>6.71</v>
      </c>
    </row>
    <row r="921" spans="1:28" x14ac:dyDescent="0.2">
      <c r="C921" s="23" t="s">
        <v>1140</v>
      </c>
      <c r="D921" s="88" t="s">
        <v>443</v>
      </c>
      <c r="E921" s="88"/>
      <c r="F921" s="88"/>
      <c r="G921" s="88"/>
      <c r="H921" s="88"/>
    </row>
    <row r="922" spans="1:28" x14ac:dyDescent="0.2">
      <c r="C922" s="23" t="s">
        <v>1141</v>
      </c>
      <c r="D922" s="88" t="s">
        <v>443</v>
      </c>
      <c r="E922" s="88"/>
      <c r="F922" s="88"/>
      <c r="G922" s="88"/>
      <c r="H922" s="88"/>
    </row>
    <row r="923" spans="1:28" x14ac:dyDescent="0.2">
      <c r="C923" s="23" t="s">
        <v>1142</v>
      </c>
      <c r="D923" s="88" t="s">
        <v>443</v>
      </c>
      <c r="E923" s="88"/>
      <c r="F923" s="88"/>
      <c r="G923" s="88"/>
      <c r="H923" s="88"/>
    </row>
    <row r="924" spans="1:28" x14ac:dyDescent="0.2">
      <c r="C924" s="23" t="s">
        <v>1143</v>
      </c>
      <c r="D924" s="88" t="s">
        <v>443</v>
      </c>
      <c r="E924" s="88"/>
      <c r="F924" s="88"/>
      <c r="G924" s="88"/>
      <c r="H924" s="88"/>
    </row>
    <row r="925" spans="1:28" x14ac:dyDescent="0.2">
      <c r="C925" s="23" t="s">
        <v>1144</v>
      </c>
      <c r="D925" s="88" t="s">
        <v>443</v>
      </c>
      <c r="E925" s="88"/>
      <c r="F925" s="88"/>
      <c r="G925" s="88"/>
      <c r="H925" s="88"/>
    </row>
    <row r="926" spans="1:28" x14ac:dyDescent="0.2">
      <c r="C926" s="9" t="s">
        <v>1134</v>
      </c>
      <c r="D926" s="34"/>
      <c r="E926" s="34"/>
      <c r="F926" s="34">
        <f>Source!BZ297</f>
        <v>95</v>
      </c>
      <c r="G926" s="57">
        <f>(Source!AF297+Source!AE297)*Source!FX297/100</f>
        <v>24.662000000000003</v>
      </c>
      <c r="H926" s="57">
        <f>Source!X297</f>
        <v>496.44</v>
      </c>
    </row>
    <row r="927" spans="1:28" x14ac:dyDescent="0.2">
      <c r="C927" s="9" t="s">
        <v>1136</v>
      </c>
      <c r="D927" s="34"/>
      <c r="E927" s="34"/>
      <c r="F927" s="34">
        <f>Source!CA297</f>
        <v>65</v>
      </c>
      <c r="G927" s="57">
        <f>(Source!AF297+Source!AE297)*Source!FY297/100</f>
        <v>16.874000000000002</v>
      </c>
      <c r="H927" s="57">
        <f>Source!Y297</f>
        <v>339.67</v>
      </c>
    </row>
    <row r="928" spans="1:28" x14ac:dyDescent="0.2">
      <c r="C928" s="9" t="s">
        <v>1138</v>
      </c>
      <c r="D928" s="34"/>
      <c r="E928" s="34"/>
      <c r="F928" s="34"/>
      <c r="G928" s="57">
        <f>((Source!AF297+Source!AE297)*Source!FX297/100)+((Source!AF297+Source!AE297)*Source!FY297/100)+Source!AB297</f>
        <v>111.76600000000001</v>
      </c>
      <c r="H928" s="57">
        <f>Source!O297+Source!X297+Source!Y297</f>
        <v>2249.83</v>
      </c>
    </row>
    <row r="929" spans="1:33" ht="71.25" x14ac:dyDescent="0.2">
      <c r="A929" s="46">
        <v>134</v>
      </c>
      <c r="B929" s="46" t="str">
        <f>Source!E298</f>
        <v>58,1</v>
      </c>
      <c r="C929" s="46" t="str">
        <f>Source!G298</f>
        <v>Электроводонагреватели накопительные вертикального исполнения, объемом 10л, мощностью 1,25 кВт, размерами 300х400х300 мм прим.</v>
      </c>
      <c r="D929" s="46" t="str">
        <f>Source!F298</f>
        <v>63.1.01.06-0113</v>
      </c>
      <c r="E929" s="31" t="str">
        <f>Source!H298</f>
        <v>шт.</v>
      </c>
      <c r="F929" s="12">
        <f>Source!I298</f>
        <v>3</v>
      </c>
      <c r="G929" s="22">
        <f>Source!AB298</f>
        <v>2572.27</v>
      </c>
      <c r="H929" s="22">
        <f>Source!O298</f>
        <v>51779.8</v>
      </c>
      <c r="T929">
        <f>Source!O298+Source!X298+Source!Y298</f>
        <v>51779.8</v>
      </c>
      <c r="U929">
        <f>Source!P298</f>
        <v>51779.8</v>
      </c>
      <c r="V929">
        <f>Source!S298</f>
        <v>0</v>
      </c>
      <c r="W929">
        <f>Source!Q298</f>
        <v>0</v>
      </c>
      <c r="X929">
        <f>Source!R298</f>
        <v>0</v>
      </c>
      <c r="Y929">
        <f>Source!U298</f>
        <v>0</v>
      </c>
      <c r="Z929">
        <f>Source!V298</f>
        <v>0</v>
      </c>
      <c r="AA929">
        <f>Source!X298</f>
        <v>0</v>
      </c>
      <c r="AB929">
        <f>Source!Y298</f>
        <v>0</v>
      </c>
    </row>
    <row r="930" spans="1:33" ht="14.25" x14ac:dyDescent="0.2">
      <c r="C930" s="23" t="s">
        <v>1132</v>
      </c>
      <c r="D930" s="23">
        <f>Source!BC298</f>
        <v>6.71</v>
      </c>
      <c r="F930" s="12"/>
      <c r="G930" s="12"/>
      <c r="H930" s="12"/>
    </row>
    <row r="932" spans="1:33" ht="15" x14ac:dyDescent="0.25">
      <c r="A932" s="58"/>
      <c r="B932" s="58"/>
      <c r="C932" s="71" t="str">
        <f>CONCATENATE("Итого по разделу: ",IF(Source!G300&lt;&gt;"Новый раздел", Source!G300, ""))</f>
        <v>Итого по разделу: Сантехнические работы</v>
      </c>
      <c r="D932" s="71"/>
      <c r="E932" s="71"/>
      <c r="F932" s="71"/>
      <c r="G932" s="58"/>
      <c r="H932" s="59">
        <f>IF(SUM(T836:T931)=0, "-", SUM(T836:T931))</f>
        <v>76785.87</v>
      </c>
    </row>
    <row r="933" spans="1:33" ht="15" x14ac:dyDescent="0.25">
      <c r="A933" s="58"/>
      <c r="B933" s="58"/>
      <c r="C933" s="58"/>
      <c r="D933" s="58"/>
      <c r="E933" s="58"/>
      <c r="F933" s="58"/>
      <c r="G933" s="58"/>
      <c r="H933" s="58"/>
    </row>
    <row r="936" spans="1:33" ht="15" x14ac:dyDescent="0.25">
      <c r="A936" s="58"/>
      <c r="B936" s="58"/>
      <c r="C936" s="71" t="str">
        <f>CONCATENATE("Итого по локальной смете: ",IF(Source!G329&lt;&gt;"Новая локальная смета", Source!G329, ""))</f>
        <v xml:space="preserve">Итого по локальной смете: </v>
      </c>
      <c r="D936" s="71"/>
      <c r="E936" s="71"/>
      <c r="F936" s="71"/>
      <c r="G936" s="58"/>
      <c r="H936" s="59">
        <f>IF(SUM(T37:T935)=0, "-", SUM(T37:T935))</f>
        <v>1148672.3200000003</v>
      </c>
    </row>
    <row r="937" spans="1:33" ht="15" x14ac:dyDescent="0.25">
      <c r="A937" s="58"/>
      <c r="B937" s="58"/>
      <c r="C937" s="58"/>
      <c r="D937" s="58"/>
      <c r="E937" s="58"/>
      <c r="F937" s="58"/>
      <c r="G937" s="58"/>
      <c r="H937" s="58"/>
    </row>
    <row r="939" spans="1:33" ht="14.25" x14ac:dyDescent="0.2">
      <c r="C939" s="87" t="str">
        <f>Source!H357</f>
        <v>Всего</v>
      </c>
      <c r="D939" s="87"/>
      <c r="E939" s="87"/>
      <c r="F939" s="87"/>
      <c r="G939" s="76">
        <f>IF(Source!F357=0, "", Source!F357)</f>
        <v>1148672.32</v>
      </c>
      <c r="H939" s="76"/>
    </row>
    <row r="940" spans="1:33" ht="14.25" x14ac:dyDescent="0.2">
      <c r="C940" s="87" t="str">
        <f>Source!H358</f>
        <v>Итого НДС 18%</v>
      </c>
      <c r="D940" s="87"/>
      <c r="E940" s="87"/>
      <c r="F940" s="87"/>
      <c r="G940" s="76">
        <f>IF(Source!F358=0, "", Source!F358)</f>
        <v>206761.02</v>
      </c>
      <c r="H940" s="76"/>
    </row>
    <row r="941" spans="1:33" ht="14.25" x14ac:dyDescent="0.2">
      <c r="C941" s="87" t="str">
        <f>Source!H359</f>
        <v>Всего по смете</v>
      </c>
      <c r="D941" s="87"/>
      <c r="E941" s="87"/>
      <c r="F941" s="87"/>
      <c r="G941" s="76">
        <f>IF(Source!F359=0, "", Source!F359)</f>
        <v>1355433.34</v>
      </c>
      <c r="H941" s="76"/>
    </row>
    <row r="943" spans="1:33" ht="45" x14ac:dyDescent="0.25">
      <c r="A943" s="58"/>
      <c r="B943" s="58"/>
      <c r="C943" s="71" t="str">
        <f>CONCATENATE("Итого по смете: ",IF(Source!G361&lt;&gt;"Новый объект", Source!G361, ""))</f>
        <v>Итого по смете: на ремонт помещений № 2- № 8, № 10 2-го этажа здания корпуса 30  НИЯУ МИФИ по адресу: г. Москва, Каширское шоссе, д. 31 стр. 7</v>
      </c>
      <c r="D943" s="71"/>
      <c r="E943" s="71"/>
      <c r="F943" s="71"/>
      <c r="G943" s="58"/>
      <c r="H943" s="59">
        <f>IF(SUM(T1:T942)=0, "-", SUM(T1:T942))</f>
        <v>1148672.3200000003</v>
      </c>
      <c r="AG943" s="60" t="str">
        <f>CONCATENATE("Итого по смете: ",IF(Source!G361&lt;&gt;"Новый объект", Source!G361, ""))</f>
        <v>Итого по смете: на ремонт помещений № 2- № 8, № 10 2-го этажа здания корпуса 30  НИЯУ МИФИ по адресу: г. Москва, Каширское шоссе, д. 31 стр. 7</v>
      </c>
    </row>
    <row r="944" spans="1:33" ht="15" x14ac:dyDescent="0.25">
      <c r="A944" s="58"/>
      <c r="B944" s="58"/>
      <c r="C944" s="58"/>
      <c r="D944" s="58"/>
      <c r="E944" s="58"/>
      <c r="F944" s="58"/>
      <c r="G944" s="58"/>
      <c r="H944" s="58"/>
    </row>
    <row r="947" spans="1:12" ht="15" thickBot="1" x14ac:dyDescent="0.25">
      <c r="A947" s="85" t="s">
        <v>1148</v>
      </c>
      <c r="B947" s="85"/>
      <c r="C947" s="61" t="str">
        <f>IF(Source!AC12&lt;&gt;"", Source!AC12," ")</f>
        <v xml:space="preserve"> </v>
      </c>
      <c r="D947" s="12"/>
      <c r="E947" s="62"/>
      <c r="F947" s="12"/>
      <c r="G947" s="86" t="str">
        <f>IF(Source!AB12&lt;&gt;"", Source!AB12," ")</f>
        <v xml:space="preserve"> </v>
      </c>
      <c r="H947" s="86"/>
      <c r="I947" s="12"/>
      <c r="J947" s="12"/>
      <c r="K947" s="12"/>
      <c r="L947" s="12"/>
    </row>
    <row r="948" spans="1:12" ht="14.25" x14ac:dyDescent="0.2">
      <c r="A948" s="12"/>
      <c r="B948" s="12"/>
      <c r="C948" s="63" t="s">
        <v>1149</v>
      </c>
      <c r="D948" s="12"/>
      <c r="E948" s="63" t="s">
        <v>1150</v>
      </c>
      <c r="F948" s="12"/>
      <c r="G948" s="84" t="s">
        <v>1151</v>
      </c>
      <c r="H948" s="84"/>
      <c r="I948" s="12"/>
      <c r="J948" s="12"/>
      <c r="K948" s="12"/>
      <c r="L948" s="12"/>
    </row>
    <row r="949" spans="1:12" ht="14.25" x14ac:dyDescent="0.2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</row>
    <row r="950" spans="1:12" ht="14.25" x14ac:dyDescent="0.2">
      <c r="A950" s="12"/>
      <c r="B950" s="12"/>
      <c r="C950" s="13" t="s">
        <v>1152</v>
      </c>
      <c r="D950" s="12"/>
      <c r="E950" s="12"/>
      <c r="F950" s="12"/>
      <c r="G950" s="12"/>
      <c r="H950" s="12"/>
      <c r="I950" s="12"/>
      <c r="J950" s="12"/>
      <c r="K950" s="12"/>
      <c r="L950" s="12"/>
    </row>
    <row r="951" spans="1:12" ht="14.25" x14ac:dyDescent="0.2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</row>
    <row r="952" spans="1:12" ht="15" thickBot="1" x14ac:dyDescent="0.25">
      <c r="A952" s="85" t="s">
        <v>1153</v>
      </c>
      <c r="B952" s="85"/>
      <c r="C952" s="61" t="str">
        <f>IF(Source!AG12&lt;&gt;"", Source!AG12," ")</f>
        <v xml:space="preserve"> </v>
      </c>
      <c r="D952" s="12"/>
      <c r="E952" s="62"/>
      <c r="F952" s="12"/>
      <c r="G952" s="86" t="str">
        <f>IF(Source!AF12&lt;&gt;"", Source!AF12," ")</f>
        <v xml:space="preserve"> </v>
      </c>
      <c r="H952" s="86"/>
      <c r="I952" s="12"/>
      <c r="J952" s="12"/>
      <c r="K952" s="12"/>
      <c r="L952" s="12"/>
    </row>
    <row r="953" spans="1:12" ht="14.25" x14ac:dyDescent="0.2">
      <c r="A953" s="12"/>
      <c r="B953" s="12"/>
      <c r="C953" s="63" t="s">
        <v>1149</v>
      </c>
      <c r="D953" s="12"/>
      <c r="E953" s="63" t="s">
        <v>1150</v>
      </c>
      <c r="F953" s="12"/>
      <c r="G953" s="84" t="s">
        <v>1151</v>
      </c>
      <c r="H953" s="84"/>
      <c r="I953" s="12"/>
      <c r="J953" s="12"/>
      <c r="K953" s="12"/>
      <c r="L953" s="12"/>
    </row>
    <row r="954" spans="1:12" ht="14.25" x14ac:dyDescent="0.2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</row>
    <row r="955" spans="1:12" ht="14.25" x14ac:dyDescent="0.2">
      <c r="A955" s="12"/>
      <c r="B955" s="12"/>
      <c r="C955" s="13" t="s">
        <v>1152</v>
      </c>
      <c r="D955" s="12"/>
      <c r="E955" s="12"/>
      <c r="F955" s="12"/>
      <c r="G955" s="12"/>
      <c r="H955" s="12"/>
      <c r="I955" s="12"/>
      <c r="J955" s="12"/>
      <c r="K955" s="12"/>
      <c r="L955" s="12"/>
    </row>
  </sheetData>
  <mergeCells count="254">
    <mergeCell ref="C10:E10"/>
    <mergeCell ref="G10:H11"/>
    <mergeCell ref="C11:E11"/>
    <mergeCell ref="C12:E12"/>
    <mergeCell ref="G12:H13"/>
    <mergeCell ref="C13:E13"/>
    <mergeCell ref="E2:H2"/>
    <mergeCell ref="E3:H3"/>
    <mergeCell ref="E4:H4"/>
    <mergeCell ref="G6:H6"/>
    <mergeCell ref="G7:H7"/>
    <mergeCell ref="G8:H9"/>
    <mergeCell ref="C9:E9"/>
    <mergeCell ref="C18:E18"/>
    <mergeCell ref="D19:F19"/>
    <mergeCell ref="G19:H19"/>
    <mergeCell ref="D20:E20"/>
    <mergeCell ref="G20:H20"/>
    <mergeCell ref="G21:H21"/>
    <mergeCell ref="C14:E14"/>
    <mergeCell ref="G14:H15"/>
    <mergeCell ref="C15:E15"/>
    <mergeCell ref="C16:E16"/>
    <mergeCell ref="G16:H17"/>
    <mergeCell ref="C17:E17"/>
    <mergeCell ref="F31:G31"/>
    <mergeCell ref="A33:B33"/>
    <mergeCell ref="C33:C34"/>
    <mergeCell ref="D33:D34"/>
    <mergeCell ref="E33:E34"/>
    <mergeCell ref="F33:H33"/>
    <mergeCell ref="G22:H22"/>
    <mergeCell ref="D24:D25"/>
    <mergeCell ref="E24:E25"/>
    <mergeCell ref="F24:G24"/>
    <mergeCell ref="A28:H28"/>
    <mergeCell ref="A29:H29"/>
    <mergeCell ref="D87:H87"/>
    <mergeCell ref="D88:H88"/>
    <mergeCell ref="D98:H98"/>
    <mergeCell ref="D99:H99"/>
    <mergeCell ref="D100:H100"/>
    <mergeCell ref="D101:H101"/>
    <mergeCell ref="A37:H37"/>
    <mergeCell ref="A39:H39"/>
    <mergeCell ref="D83:H83"/>
    <mergeCell ref="D84:H84"/>
    <mergeCell ref="D85:H85"/>
    <mergeCell ref="D86:H86"/>
    <mergeCell ref="D116:H116"/>
    <mergeCell ref="D117:H117"/>
    <mergeCell ref="D126:H126"/>
    <mergeCell ref="D127:H127"/>
    <mergeCell ref="D128:H128"/>
    <mergeCell ref="D129:H129"/>
    <mergeCell ref="D102:H102"/>
    <mergeCell ref="D103:H103"/>
    <mergeCell ref="D112:H112"/>
    <mergeCell ref="D113:H113"/>
    <mergeCell ref="D114:H114"/>
    <mergeCell ref="D115:H115"/>
    <mergeCell ref="D154:H154"/>
    <mergeCell ref="D155:H155"/>
    <mergeCell ref="D205:H205"/>
    <mergeCell ref="C219:F219"/>
    <mergeCell ref="A223:H223"/>
    <mergeCell ref="D230:H230"/>
    <mergeCell ref="D130:H130"/>
    <mergeCell ref="D131:H131"/>
    <mergeCell ref="D150:H150"/>
    <mergeCell ref="D151:H151"/>
    <mergeCell ref="D152:H152"/>
    <mergeCell ref="D153:H153"/>
    <mergeCell ref="D254:H254"/>
    <mergeCell ref="D255:H255"/>
    <mergeCell ref="D256:H256"/>
    <mergeCell ref="D290:H290"/>
    <mergeCell ref="D291:H291"/>
    <mergeCell ref="D292:H292"/>
    <mergeCell ref="D231:H231"/>
    <mergeCell ref="D232:H232"/>
    <mergeCell ref="D233:H233"/>
    <mergeCell ref="D234:H234"/>
    <mergeCell ref="D252:H252"/>
    <mergeCell ref="D253:H253"/>
    <mergeCell ref="D340:H340"/>
    <mergeCell ref="D356:H356"/>
    <mergeCell ref="D357:H357"/>
    <mergeCell ref="D358:H358"/>
    <mergeCell ref="D359:H359"/>
    <mergeCell ref="D360:H360"/>
    <mergeCell ref="D293:H293"/>
    <mergeCell ref="D294:H294"/>
    <mergeCell ref="D336:H336"/>
    <mergeCell ref="D337:H337"/>
    <mergeCell ref="D338:H338"/>
    <mergeCell ref="D339:H339"/>
    <mergeCell ref="D397:H397"/>
    <mergeCell ref="D398:H398"/>
    <mergeCell ref="D399:H399"/>
    <mergeCell ref="D400:H400"/>
    <mergeCell ref="D420:H420"/>
    <mergeCell ref="D421:H421"/>
    <mergeCell ref="D372:H372"/>
    <mergeCell ref="D373:H373"/>
    <mergeCell ref="D374:H374"/>
    <mergeCell ref="D375:H375"/>
    <mergeCell ref="D376:H376"/>
    <mergeCell ref="D396:H396"/>
    <mergeCell ref="D447:H447"/>
    <mergeCell ref="D448:H448"/>
    <mergeCell ref="D484:H484"/>
    <mergeCell ref="D485:H485"/>
    <mergeCell ref="D486:H486"/>
    <mergeCell ref="D487:H487"/>
    <mergeCell ref="D422:H422"/>
    <mergeCell ref="D423:H423"/>
    <mergeCell ref="D424:H424"/>
    <mergeCell ref="D444:H444"/>
    <mergeCell ref="D445:H445"/>
    <mergeCell ref="D446:H446"/>
    <mergeCell ref="D555:H555"/>
    <mergeCell ref="D556:H556"/>
    <mergeCell ref="D557:H557"/>
    <mergeCell ref="D558:H558"/>
    <mergeCell ref="D559:H559"/>
    <mergeCell ref="C570:F570"/>
    <mergeCell ref="D488:H488"/>
    <mergeCell ref="D510:H510"/>
    <mergeCell ref="D511:H511"/>
    <mergeCell ref="D512:H512"/>
    <mergeCell ref="D513:H513"/>
    <mergeCell ref="D514:H514"/>
    <mergeCell ref="D593:H593"/>
    <mergeCell ref="D594:H594"/>
    <mergeCell ref="D595:H595"/>
    <mergeCell ref="D596:H596"/>
    <mergeCell ref="D597:H597"/>
    <mergeCell ref="D607:H607"/>
    <mergeCell ref="A574:H574"/>
    <mergeCell ref="D580:H580"/>
    <mergeCell ref="D581:H581"/>
    <mergeCell ref="D582:H582"/>
    <mergeCell ref="D583:H583"/>
    <mergeCell ref="D584:H584"/>
    <mergeCell ref="D625:H625"/>
    <mergeCell ref="D626:H626"/>
    <mergeCell ref="D627:H627"/>
    <mergeCell ref="D639:H639"/>
    <mergeCell ref="D640:H640"/>
    <mergeCell ref="D641:H641"/>
    <mergeCell ref="D608:H608"/>
    <mergeCell ref="D609:H609"/>
    <mergeCell ref="D610:H610"/>
    <mergeCell ref="D611:H611"/>
    <mergeCell ref="D623:H623"/>
    <mergeCell ref="D624:H624"/>
    <mergeCell ref="D659:H659"/>
    <mergeCell ref="D671:H671"/>
    <mergeCell ref="D672:H672"/>
    <mergeCell ref="D673:H673"/>
    <mergeCell ref="D674:H674"/>
    <mergeCell ref="D675:H675"/>
    <mergeCell ref="D642:H642"/>
    <mergeCell ref="D643:H643"/>
    <mergeCell ref="D655:H655"/>
    <mergeCell ref="D656:H656"/>
    <mergeCell ref="D657:H657"/>
    <mergeCell ref="D658:H658"/>
    <mergeCell ref="D704:H704"/>
    <mergeCell ref="D705:H705"/>
    <mergeCell ref="D706:H706"/>
    <mergeCell ref="D707:H707"/>
    <mergeCell ref="D721:H721"/>
    <mergeCell ref="D722:H722"/>
    <mergeCell ref="D687:H687"/>
    <mergeCell ref="D688:H688"/>
    <mergeCell ref="D689:H689"/>
    <mergeCell ref="D690:H690"/>
    <mergeCell ref="D691:H691"/>
    <mergeCell ref="D703:H703"/>
    <mergeCell ref="D749:H749"/>
    <mergeCell ref="D750:H750"/>
    <mergeCell ref="D762:H762"/>
    <mergeCell ref="D763:H763"/>
    <mergeCell ref="D764:H764"/>
    <mergeCell ref="D765:H765"/>
    <mergeCell ref="D723:H723"/>
    <mergeCell ref="D724:H724"/>
    <mergeCell ref="D725:H725"/>
    <mergeCell ref="D746:H746"/>
    <mergeCell ref="D747:H747"/>
    <mergeCell ref="D748:H748"/>
    <mergeCell ref="D790:H790"/>
    <mergeCell ref="D791:H791"/>
    <mergeCell ref="D792:H792"/>
    <mergeCell ref="D793:H793"/>
    <mergeCell ref="D794:H794"/>
    <mergeCell ref="C805:F805"/>
    <mergeCell ref="D766:H766"/>
    <mergeCell ref="D775:H775"/>
    <mergeCell ref="D776:H776"/>
    <mergeCell ref="D777:H777"/>
    <mergeCell ref="D778:H778"/>
    <mergeCell ref="D779:H779"/>
    <mergeCell ref="D827:H827"/>
    <mergeCell ref="C832:F832"/>
    <mergeCell ref="A836:H836"/>
    <mergeCell ref="D843:H843"/>
    <mergeCell ref="D844:H844"/>
    <mergeCell ref="D845:H845"/>
    <mergeCell ref="A809:H809"/>
    <mergeCell ref="D812:H812"/>
    <mergeCell ref="D813:H813"/>
    <mergeCell ref="D819:H819"/>
    <mergeCell ref="D820:H820"/>
    <mergeCell ref="D826:H826"/>
    <mergeCell ref="D867:H867"/>
    <mergeCell ref="D883:H883"/>
    <mergeCell ref="D884:H884"/>
    <mergeCell ref="D885:H885"/>
    <mergeCell ref="D886:H886"/>
    <mergeCell ref="D887:H887"/>
    <mergeCell ref="D846:H846"/>
    <mergeCell ref="D847:H847"/>
    <mergeCell ref="D863:H863"/>
    <mergeCell ref="D864:H864"/>
    <mergeCell ref="D865:H865"/>
    <mergeCell ref="D866:H866"/>
    <mergeCell ref="D922:H922"/>
    <mergeCell ref="D923:H923"/>
    <mergeCell ref="D924:H924"/>
    <mergeCell ref="D925:H925"/>
    <mergeCell ref="C932:F932"/>
    <mergeCell ref="C936:F936"/>
    <mergeCell ref="D904:H904"/>
    <mergeCell ref="D905:H905"/>
    <mergeCell ref="D906:H906"/>
    <mergeCell ref="D907:H907"/>
    <mergeCell ref="D908:H908"/>
    <mergeCell ref="D921:H921"/>
    <mergeCell ref="G953:H953"/>
    <mergeCell ref="C943:F943"/>
    <mergeCell ref="A947:B947"/>
    <mergeCell ref="G947:H947"/>
    <mergeCell ref="G948:H948"/>
    <mergeCell ref="A952:B952"/>
    <mergeCell ref="G952:H952"/>
    <mergeCell ref="C939:F939"/>
    <mergeCell ref="G939:H939"/>
    <mergeCell ref="C940:F940"/>
    <mergeCell ref="G940:H940"/>
    <mergeCell ref="C941:F941"/>
    <mergeCell ref="G941:H941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zoomScaleNormal="100" workbookViewId="0">
      <selection sqref="A1:D1"/>
    </sheetView>
  </sheetViews>
  <sheetFormatPr defaultRowHeight="12.75" x14ac:dyDescent="0.2"/>
  <cols>
    <col min="1" max="1" width="5.7109375" customWidth="1"/>
    <col min="2" max="2" width="22.7109375" customWidth="1"/>
    <col min="10" max="11" width="11.140625" customWidth="1"/>
  </cols>
  <sheetData>
    <row r="1" spans="1:12" ht="14.25" x14ac:dyDescent="0.2">
      <c r="A1" s="156" t="str">
        <f>Source!B1</f>
        <v>Smeta.RU  (495) 974-1589</v>
      </c>
      <c r="B1" s="156"/>
      <c r="C1" s="156"/>
      <c r="D1" s="156"/>
      <c r="E1" s="12"/>
      <c r="F1" s="12"/>
      <c r="G1" s="12"/>
      <c r="H1" s="110" t="s">
        <v>1154</v>
      </c>
      <c r="I1" s="110"/>
      <c r="J1" s="110"/>
      <c r="K1" s="110"/>
      <c r="L1" s="110"/>
    </row>
    <row r="2" spans="1:12" ht="14.25" x14ac:dyDescent="0.2">
      <c r="A2" s="12"/>
      <c r="B2" s="12"/>
      <c r="C2" s="12"/>
      <c r="D2" s="12"/>
      <c r="E2" s="12"/>
      <c r="F2" s="12"/>
      <c r="G2" s="12"/>
      <c r="H2" s="110" t="s">
        <v>1092</v>
      </c>
      <c r="I2" s="110"/>
      <c r="J2" s="110"/>
      <c r="K2" s="110"/>
      <c r="L2" s="110"/>
    </row>
    <row r="3" spans="1:12" ht="14.25" x14ac:dyDescent="0.2">
      <c r="A3" s="12"/>
      <c r="B3" s="12"/>
      <c r="C3" s="12"/>
      <c r="D3" s="12"/>
      <c r="E3" s="12"/>
      <c r="F3" s="12"/>
      <c r="G3" s="12"/>
      <c r="H3" s="110" t="s">
        <v>1093</v>
      </c>
      <c r="I3" s="110"/>
      <c r="J3" s="110"/>
      <c r="K3" s="110"/>
      <c r="L3" s="110"/>
    </row>
    <row r="4" spans="1:12" ht="14.25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01" t="s">
        <v>1155</v>
      </c>
      <c r="L4" s="102"/>
    </row>
    <row r="5" spans="1:12" ht="14.25" x14ac:dyDescent="0.2">
      <c r="A5" s="12"/>
      <c r="B5" s="12"/>
      <c r="C5" s="12"/>
      <c r="D5" s="12"/>
      <c r="E5" s="12"/>
      <c r="F5" s="12"/>
      <c r="G5" s="12"/>
      <c r="H5" s="12"/>
      <c r="I5" s="79" t="s">
        <v>1095</v>
      </c>
      <c r="J5" s="79"/>
      <c r="K5" s="101">
        <v>322001</v>
      </c>
      <c r="L5" s="102"/>
    </row>
    <row r="6" spans="1:12" ht="14.25" x14ac:dyDescent="0.2">
      <c r="A6" s="79" t="s">
        <v>1156</v>
      </c>
      <c r="B6" s="79"/>
      <c r="C6" s="155"/>
      <c r="D6" s="155"/>
      <c r="E6" s="155"/>
      <c r="F6" s="155"/>
      <c r="G6" s="155"/>
      <c r="H6" s="155"/>
      <c r="I6" s="155"/>
      <c r="J6" s="11" t="s">
        <v>1098</v>
      </c>
      <c r="K6" s="101"/>
      <c r="L6" s="102"/>
    </row>
    <row r="7" spans="1:12" ht="14.25" x14ac:dyDescent="0.2">
      <c r="A7" s="12"/>
      <c r="B7" s="12"/>
      <c r="C7" s="99" t="s">
        <v>1099</v>
      </c>
      <c r="D7" s="99"/>
      <c r="E7" s="99"/>
      <c r="F7" s="99"/>
      <c r="G7" s="99"/>
      <c r="H7" s="99"/>
      <c r="I7" s="99"/>
      <c r="J7" s="12"/>
      <c r="K7" s="51"/>
      <c r="L7" s="64"/>
    </row>
    <row r="8" spans="1:12" ht="14.25" x14ac:dyDescent="0.2">
      <c r="A8" s="79" t="s">
        <v>1157</v>
      </c>
      <c r="B8" s="79"/>
      <c r="C8" s="155"/>
      <c r="D8" s="155"/>
      <c r="E8" s="155"/>
      <c r="F8" s="155"/>
      <c r="G8" s="155"/>
      <c r="H8" s="155"/>
      <c r="I8" s="25"/>
      <c r="J8" s="11" t="s">
        <v>1098</v>
      </c>
      <c r="K8" s="105"/>
      <c r="L8" s="106"/>
    </row>
    <row r="9" spans="1:12" ht="14.25" x14ac:dyDescent="0.2">
      <c r="A9" s="12"/>
      <c r="B9" s="12"/>
      <c r="C9" s="99" t="s">
        <v>1099</v>
      </c>
      <c r="D9" s="99"/>
      <c r="E9" s="99"/>
      <c r="F9" s="99"/>
      <c r="G9" s="99"/>
      <c r="H9" s="99"/>
      <c r="I9" s="99"/>
      <c r="J9" s="12"/>
      <c r="K9" s="51"/>
      <c r="L9" s="64"/>
    </row>
    <row r="10" spans="1:12" ht="14.25" x14ac:dyDescent="0.2">
      <c r="A10" s="79" t="s">
        <v>1158</v>
      </c>
      <c r="B10" s="79"/>
      <c r="C10" s="155"/>
      <c r="D10" s="155"/>
      <c r="E10" s="155"/>
      <c r="F10" s="155"/>
      <c r="G10" s="155"/>
      <c r="H10" s="155"/>
      <c r="I10" s="155"/>
      <c r="J10" s="11" t="s">
        <v>1098</v>
      </c>
      <c r="K10" s="105"/>
      <c r="L10" s="106"/>
    </row>
    <row r="11" spans="1:12" ht="14.25" x14ac:dyDescent="0.2">
      <c r="A11" s="12"/>
      <c r="B11" s="12"/>
      <c r="C11" s="99" t="s">
        <v>1099</v>
      </c>
      <c r="D11" s="99"/>
      <c r="E11" s="99"/>
      <c r="F11" s="99"/>
      <c r="G11" s="99"/>
      <c r="H11" s="99"/>
      <c r="I11" s="99"/>
      <c r="J11" s="12"/>
      <c r="K11" s="51"/>
      <c r="L11" s="64"/>
    </row>
    <row r="12" spans="1:12" ht="14.25" x14ac:dyDescent="0.2">
      <c r="A12" s="79" t="s">
        <v>1159</v>
      </c>
      <c r="B12" s="79"/>
      <c r="C12" s="155"/>
      <c r="D12" s="155"/>
      <c r="E12" s="155"/>
      <c r="F12" s="155"/>
      <c r="G12" s="155"/>
      <c r="H12" s="155"/>
      <c r="I12" s="155"/>
      <c r="J12" s="11" t="s">
        <v>1098</v>
      </c>
      <c r="K12" s="105"/>
      <c r="L12" s="106"/>
    </row>
    <row r="13" spans="1:12" ht="14.25" x14ac:dyDescent="0.2">
      <c r="A13" s="12"/>
      <c r="B13" s="12"/>
      <c r="C13" s="99" t="s">
        <v>1103</v>
      </c>
      <c r="D13" s="99"/>
      <c r="E13" s="99"/>
      <c r="F13" s="99"/>
      <c r="G13" s="99"/>
      <c r="H13" s="79" t="s">
        <v>1160</v>
      </c>
      <c r="I13" s="79"/>
      <c r="J13" s="100"/>
      <c r="K13" s="101"/>
      <c r="L13" s="102"/>
    </row>
    <row r="14" spans="1:12" ht="14.25" x14ac:dyDescent="0.2">
      <c r="A14" s="12"/>
      <c r="B14" s="12"/>
      <c r="C14" s="12"/>
      <c r="D14" s="12"/>
      <c r="E14" s="79" t="s">
        <v>1161</v>
      </c>
      <c r="F14" s="79"/>
      <c r="G14" s="79"/>
      <c r="H14" s="79"/>
      <c r="I14" s="154" t="s">
        <v>1108</v>
      </c>
      <c r="J14" s="118"/>
      <c r="K14" s="101"/>
      <c r="L14" s="102"/>
    </row>
    <row r="15" spans="1:12" ht="14.25" x14ac:dyDescent="0.2">
      <c r="A15" s="12"/>
      <c r="B15" s="12"/>
      <c r="C15" s="12"/>
      <c r="D15" s="12"/>
      <c r="E15" s="12"/>
      <c r="F15" s="12"/>
      <c r="G15" s="12"/>
      <c r="H15" s="12"/>
      <c r="I15" s="141" t="s">
        <v>1109</v>
      </c>
      <c r="J15" s="142"/>
      <c r="K15" s="103"/>
      <c r="L15" s="104"/>
    </row>
    <row r="16" spans="1:12" ht="14.25" x14ac:dyDescent="0.2">
      <c r="A16" s="12"/>
      <c r="B16" s="12"/>
      <c r="C16" s="12"/>
      <c r="D16" s="12"/>
      <c r="E16" s="12"/>
      <c r="F16" s="12"/>
      <c r="G16" s="12"/>
      <c r="H16" s="12"/>
      <c r="I16" s="118" t="s">
        <v>1162</v>
      </c>
      <c r="J16" s="118"/>
      <c r="K16" s="143"/>
      <c r="L16" s="144"/>
    </row>
    <row r="17" spans="1:12" ht="14.25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ht="14.25" x14ac:dyDescent="0.2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19" spans="1:12" ht="14.25" x14ac:dyDescent="0.2">
      <c r="A19" s="12"/>
      <c r="B19" s="12"/>
      <c r="C19" s="145" t="s">
        <v>1111</v>
      </c>
      <c r="D19" s="146"/>
      <c r="E19" s="145" t="s">
        <v>1112</v>
      </c>
      <c r="F19" s="149"/>
      <c r="G19" s="12"/>
      <c r="H19" s="12"/>
      <c r="I19" s="145" t="s">
        <v>1113</v>
      </c>
      <c r="J19" s="146"/>
      <c r="K19" s="146"/>
      <c r="L19" s="149"/>
    </row>
    <row r="20" spans="1:12" ht="14.25" x14ac:dyDescent="0.2">
      <c r="A20" s="12"/>
      <c r="B20" s="12"/>
      <c r="C20" s="147"/>
      <c r="D20" s="148"/>
      <c r="E20" s="147"/>
      <c r="F20" s="150"/>
      <c r="G20" s="12"/>
      <c r="H20" s="12"/>
      <c r="I20" s="151" t="s">
        <v>1114</v>
      </c>
      <c r="J20" s="152"/>
      <c r="K20" s="151" t="s">
        <v>1115</v>
      </c>
      <c r="L20" s="153"/>
    </row>
    <row r="21" spans="1:12" ht="14.25" x14ac:dyDescent="0.2">
      <c r="A21" s="12"/>
      <c r="B21" s="12"/>
      <c r="C21" s="91"/>
      <c r="D21" s="137"/>
      <c r="E21" s="138"/>
      <c r="F21" s="139"/>
      <c r="G21" s="65"/>
      <c r="H21" s="65"/>
      <c r="I21" s="138"/>
      <c r="J21" s="140"/>
      <c r="K21" s="138"/>
      <c r="L21" s="139"/>
    </row>
    <row r="22" spans="1:12" ht="14.25" x14ac:dyDescent="0.2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ht="14.25" x14ac:dyDescent="0.2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 ht="18" x14ac:dyDescent="0.25">
      <c r="A24" s="98" t="s">
        <v>1163</v>
      </c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</row>
    <row r="25" spans="1:12" ht="18" x14ac:dyDescent="0.25">
      <c r="A25" s="98" t="s">
        <v>1164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</row>
    <row r="26" spans="1:12" ht="14.25" x14ac:dyDescent="0.2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12" ht="14.25" x14ac:dyDescent="0.2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12" ht="14.25" x14ac:dyDescent="0.2">
      <c r="A28" s="131" t="s">
        <v>1070</v>
      </c>
      <c r="B28" s="131" t="s">
        <v>1165</v>
      </c>
      <c r="C28" s="133"/>
      <c r="D28" s="133"/>
      <c r="E28" s="133"/>
      <c r="F28" s="131" t="s">
        <v>1094</v>
      </c>
      <c r="G28" s="131" t="s">
        <v>1166</v>
      </c>
      <c r="H28" s="133"/>
      <c r="I28" s="133"/>
      <c r="J28" s="133"/>
      <c r="K28" s="133"/>
      <c r="L28" s="135"/>
    </row>
    <row r="29" spans="1:12" x14ac:dyDescent="0.2">
      <c r="A29" s="132"/>
      <c r="B29" s="132"/>
      <c r="C29" s="134"/>
      <c r="D29" s="134"/>
      <c r="E29" s="134"/>
      <c r="F29" s="132"/>
      <c r="G29" s="131" t="s">
        <v>1167</v>
      </c>
      <c r="H29" s="133"/>
      <c r="I29" s="131" t="s">
        <v>1168</v>
      </c>
      <c r="J29" s="133"/>
      <c r="K29" s="131" t="s">
        <v>1169</v>
      </c>
      <c r="L29" s="135"/>
    </row>
    <row r="30" spans="1:12" x14ac:dyDescent="0.2">
      <c r="A30" s="132"/>
      <c r="B30" s="132"/>
      <c r="C30" s="134"/>
      <c r="D30" s="134"/>
      <c r="E30" s="134"/>
      <c r="F30" s="132"/>
      <c r="G30" s="132"/>
      <c r="H30" s="134"/>
      <c r="I30" s="132"/>
      <c r="J30" s="134"/>
      <c r="K30" s="132"/>
      <c r="L30" s="136"/>
    </row>
    <row r="31" spans="1:12" x14ac:dyDescent="0.2">
      <c r="A31" s="132"/>
      <c r="B31" s="132"/>
      <c r="C31" s="134"/>
      <c r="D31" s="134"/>
      <c r="E31" s="134"/>
      <c r="F31" s="132"/>
      <c r="G31" s="132"/>
      <c r="H31" s="134"/>
      <c r="I31" s="132"/>
      <c r="J31" s="134"/>
      <c r="K31" s="132"/>
      <c r="L31" s="136"/>
    </row>
    <row r="32" spans="1:12" x14ac:dyDescent="0.2">
      <c r="A32" s="132"/>
      <c r="B32" s="132"/>
      <c r="C32" s="134"/>
      <c r="D32" s="134"/>
      <c r="E32" s="134"/>
      <c r="F32" s="132"/>
      <c r="G32" s="132"/>
      <c r="H32" s="134"/>
      <c r="I32" s="132"/>
      <c r="J32" s="134"/>
      <c r="K32" s="132"/>
      <c r="L32" s="136"/>
    </row>
    <row r="33" spans="1:12" ht="14.25" x14ac:dyDescent="0.2">
      <c r="A33" s="51">
        <v>1</v>
      </c>
      <c r="B33" s="101">
        <v>2</v>
      </c>
      <c r="C33" s="126"/>
      <c r="D33" s="126"/>
      <c r="E33" s="126"/>
      <c r="F33" s="51">
        <v>3</v>
      </c>
      <c r="G33" s="101">
        <v>4</v>
      </c>
      <c r="H33" s="126"/>
      <c r="I33" s="101">
        <v>5</v>
      </c>
      <c r="J33" s="126"/>
      <c r="K33" s="101">
        <v>6</v>
      </c>
      <c r="L33" s="102"/>
    </row>
    <row r="34" spans="1:12" ht="14.25" x14ac:dyDescent="0.2">
      <c r="A34" s="66"/>
      <c r="B34" s="127" t="s">
        <v>1170</v>
      </c>
      <c r="C34" s="116"/>
      <c r="D34" s="116"/>
      <c r="E34" s="116"/>
      <c r="F34" s="67"/>
      <c r="G34" s="128"/>
      <c r="H34" s="129"/>
      <c r="I34" s="128"/>
      <c r="J34" s="129"/>
      <c r="K34" s="128"/>
      <c r="L34" s="130"/>
    </row>
    <row r="35" spans="1:12" ht="14.25" x14ac:dyDescent="0.2">
      <c r="A35" s="68"/>
      <c r="B35" s="114" t="s">
        <v>1171</v>
      </c>
      <c r="C35" s="115"/>
      <c r="D35" s="115"/>
      <c r="E35" s="115"/>
      <c r="F35" s="115"/>
      <c r="G35" s="115"/>
      <c r="H35" s="115"/>
      <c r="I35" s="115"/>
      <c r="J35" s="115"/>
      <c r="K35" s="116"/>
      <c r="L35" s="117"/>
    </row>
    <row r="36" spans="1:12" ht="14.25" x14ac:dyDescent="0.2">
      <c r="A36" s="118" t="s">
        <v>1172</v>
      </c>
      <c r="B36" s="118"/>
      <c r="C36" s="118"/>
      <c r="D36" s="118"/>
      <c r="E36" s="118"/>
      <c r="F36" s="118"/>
      <c r="G36" s="118"/>
      <c r="H36" s="118"/>
      <c r="I36" s="118"/>
      <c r="J36" s="119"/>
      <c r="K36" s="120"/>
      <c r="L36" s="119"/>
    </row>
    <row r="37" spans="1:12" ht="14.25" x14ac:dyDescent="0.2">
      <c r="A37" s="121" t="s">
        <v>1173</v>
      </c>
      <c r="B37" s="121"/>
      <c r="C37" s="121"/>
      <c r="D37" s="121"/>
      <c r="E37" s="121"/>
      <c r="F37" s="121"/>
      <c r="G37" s="121"/>
      <c r="H37" s="121"/>
      <c r="I37" s="121"/>
      <c r="J37" s="121"/>
      <c r="K37" s="122"/>
      <c r="L37" s="123"/>
    </row>
    <row r="38" spans="1:12" ht="14.25" x14ac:dyDescent="0.2">
      <c r="A38" s="121" t="s">
        <v>1174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4"/>
      <c r="L38" s="125"/>
    </row>
    <row r="39" spans="1:12" ht="14.25" x14ac:dyDescent="0.2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2" spans="1:12" ht="14.25" x14ac:dyDescent="0.2">
      <c r="A42" s="85" t="s">
        <v>1157</v>
      </c>
      <c r="B42" s="85"/>
      <c r="C42" s="112"/>
      <c r="D42" s="112"/>
      <c r="E42" s="112"/>
      <c r="F42" s="12"/>
      <c r="G42" s="112"/>
      <c r="H42" s="112"/>
      <c r="I42" s="12"/>
      <c r="J42" s="112"/>
      <c r="K42" s="112"/>
      <c r="L42" s="112"/>
    </row>
    <row r="43" spans="1:12" ht="14.25" x14ac:dyDescent="0.2">
      <c r="A43" s="12"/>
      <c r="B43" s="12"/>
      <c r="C43" s="113" t="s">
        <v>1149</v>
      </c>
      <c r="D43" s="113"/>
      <c r="E43" s="113"/>
      <c r="F43" s="12"/>
      <c r="G43" s="113" t="s">
        <v>1150</v>
      </c>
      <c r="H43" s="113"/>
      <c r="I43" s="12"/>
      <c r="J43" s="113" t="s">
        <v>1151</v>
      </c>
      <c r="K43" s="113"/>
      <c r="L43" s="113"/>
    </row>
    <row r="44" spans="1:12" ht="14.25" x14ac:dyDescent="0.2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 spans="1:12" ht="14.25" x14ac:dyDescent="0.2">
      <c r="A45" s="11" t="s">
        <v>1175</v>
      </c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 spans="1:12" ht="14.25" x14ac:dyDescent="0.2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 spans="1:12" ht="14.25" x14ac:dyDescent="0.2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 spans="1:12" ht="14.25" x14ac:dyDescent="0.2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 spans="1:12" ht="14.25" x14ac:dyDescent="0.2">
      <c r="A49" s="85" t="s">
        <v>1158</v>
      </c>
      <c r="B49" s="85"/>
      <c r="C49" s="112"/>
      <c r="D49" s="112"/>
      <c r="E49" s="112"/>
      <c r="F49" s="12"/>
      <c r="G49" s="112"/>
      <c r="H49" s="112"/>
      <c r="I49" s="12"/>
      <c r="J49" s="112"/>
      <c r="K49" s="112"/>
      <c r="L49" s="112"/>
    </row>
    <row r="50" spans="1:12" ht="14.25" x14ac:dyDescent="0.2">
      <c r="A50" s="12"/>
      <c r="B50" s="12"/>
      <c r="C50" s="113" t="s">
        <v>1149</v>
      </c>
      <c r="D50" s="113"/>
      <c r="E50" s="113"/>
      <c r="F50" s="12"/>
      <c r="G50" s="113" t="s">
        <v>1150</v>
      </c>
      <c r="H50" s="113"/>
      <c r="I50" s="12"/>
      <c r="J50" s="113" t="s">
        <v>1151</v>
      </c>
      <c r="K50" s="113"/>
      <c r="L50" s="113"/>
    </row>
    <row r="51" spans="1:12" ht="14.25" x14ac:dyDescent="0.2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 spans="1:12" ht="14.25" x14ac:dyDescent="0.2">
      <c r="A52" s="11" t="s">
        <v>1175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</row>
  </sheetData>
  <mergeCells count="79">
    <mergeCell ref="I5:J5"/>
    <mergeCell ref="K5:L5"/>
    <mergeCell ref="A1:D1"/>
    <mergeCell ref="H1:L1"/>
    <mergeCell ref="H2:L2"/>
    <mergeCell ref="H3:L3"/>
    <mergeCell ref="K4:L4"/>
    <mergeCell ref="A12:B12"/>
    <mergeCell ref="C12:I12"/>
    <mergeCell ref="K12:L12"/>
    <mergeCell ref="A6:B6"/>
    <mergeCell ref="C6:I6"/>
    <mergeCell ref="K6:L6"/>
    <mergeCell ref="C7:I7"/>
    <mergeCell ref="A8:B8"/>
    <mergeCell ref="C8:H8"/>
    <mergeCell ref="K8:L8"/>
    <mergeCell ref="C9:I9"/>
    <mergeCell ref="A10:B10"/>
    <mergeCell ref="C10:I10"/>
    <mergeCell ref="K10:L10"/>
    <mergeCell ref="C11:I11"/>
    <mergeCell ref="C13:G13"/>
    <mergeCell ref="H13:J13"/>
    <mergeCell ref="K13:L13"/>
    <mergeCell ref="E14:H14"/>
    <mergeCell ref="I14:J14"/>
    <mergeCell ref="K14:L14"/>
    <mergeCell ref="A25:L25"/>
    <mergeCell ref="I15:J15"/>
    <mergeCell ref="K15:L15"/>
    <mergeCell ref="I16:J16"/>
    <mergeCell ref="K16:L16"/>
    <mergeCell ref="C19:D20"/>
    <mergeCell ref="E19:F20"/>
    <mergeCell ref="I19:L19"/>
    <mergeCell ref="I20:J20"/>
    <mergeCell ref="K20:L20"/>
    <mergeCell ref="C21:D21"/>
    <mergeCell ref="E21:F21"/>
    <mergeCell ref="I21:J21"/>
    <mergeCell ref="K21:L21"/>
    <mergeCell ref="A24:L24"/>
    <mergeCell ref="A28:A32"/>
    <mergeCell ref="B28:E32"/>
    <mergeCell ref="F28:F32"/>
    <mergeCell ref="G28:L28"/>
    <mergeCell ref="G29:H32"/>
    <mergeCell ref="I29:J32"/>
    <mergeCell ref="K29:L32"/>
    <mergeCell ref="A38:J38"/>
    <mergeCell ref="K38:L38"/>
    <mergeCell ref="B33:E33"/>
    <mergeCell ref="G33:H33"/>
    <mergeCell ref="I33:J33"/>
    <mergeCell ref="K33:L33"/>
    <mergeCell ref="B34:E34"/>
    <mergeCell ref="G34:H34"/>
    <mergeCell ref="I34:J34"/>
    <mergeCell ref="K34:L34"/>
    <mergeCell ref="B35:L35"/>
    <mergeCell ref="A36:J36"/>
    <mergeCell ref="K36:L36"/>
    <mergeCell ref="A37:J37"/>
    <mergeCell ref="K37:L37"/>
    <mergeCell ref="A42:B42"/>
    <mergeCell ref="C42:E42"/>
    <mergeCell ref="G42:H42"/>
    <mergeCell ref="J42:L42"/>
    <mergeCell ref="C43:E43"/>
    <mergeCell ref="G43:H43"/>
    <mergeCell ref="J43:L43"/>
    <mergeCell ref="A49:B49"/>
    <mergeCell ref="C49:E49"/>
    <mergeCell ref="G49:H49"/>
    <mergeCell ref="J49:L49"/>
    <mergeCell ref="C50:E50"/>
    <mergeCell ref="G50:H50"/>
    <mergeCell ref="J50:L50"/>
  </mergeCells>
  <pageMargins left="0.4" right="0.2" top="0.4" bottom="0.4" header="0.2" footer="0.2"/>
  <pageSetup paperSize="9" scale="78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424"/>
  <sheetViews>
    <sheetView workbookViewId="0">
      <selection activeCell="G12" sqref="G12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8</v>
      </c>
    </row>
    <row r="12" spans="1:133" x14ac:dyDescent="0.2">
      <c r="A12" s="1">
        <v>1</v>
      </c>
      <c r="B12" s="1">
        <v>419</v>
      </c>
      <c r="C12" s="1">
        <v>0</v>
      </c>
      <c r="D12" s="1">
        <f>ROW(A361)</f>
        <v>361</v>
      </c>
      <c r="E12" s="1">
        <v>0</v>
      </c>
      <c r="F12" s="1" t="s">
        <v>4</v>
      </c>
      <c r="G12" s="1" t="s">
        <v>1177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17301512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B361</f>
        <v>419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на ремонт помещений № 2- № 8, № 10 2-го этажа здания корпуса 30  НИЯУ МИФИ по адресу: г. Москва, Каширское шоссе, д. 31 стр. 7</v>
      </c>
      <c r="H18" s="2"/>
      <c r="I18" s="2"/>
      <c r="J18" s="2"/>
      <c r="K18" s="2"/>
      <c r="L18" s="2"/>
      <c r="M18" s="2"/>
      <c r="N18" s="2"/>
      <c r="O18" s="2">
        <f t="shared" ref="O18:AT18" si="1">O361</f>
        <v>1006235.74</v>
      </c>
      <c r="P18" s="2">
        <f t="shared" si="1"/>
        <v>902976.05</v>
      </c>
      <c r="Q18" s="2">
        <f t="shared" si="1"/>
        <v>6775.09</v>
      </c>
      <c r="R18" s="2">
        <f t="shared" si="1"/>
        <v>1463.02</v>
      </c>
      <c r="S18" s="2">
        <f t="shared" si="1"/>
        <v>96484.6</v>
      </c>
      <c r="T18" s="2">
        <f t="shared" si="1"/>
        <v>0</v>
      </c>
      <c r="U18" s="2">
        <f t="shared" si="1"/>
        <v>1332.7117816999998</v>
      </c>
      <c r="V18" s="2">
        <f t="shared" si="1"/>
        <v>17.025969</v>
      </c>
      <c r="W18" s="2">
        <f t="shared" si="1"/>
        <v>0</v>
      </c>
      <c r="X18" s="2">
        <f t="shared" si="1"/>
        <v>86927.03</v>
      </c>
      <c r="Y18" s="2">
        <f t="shared" si="1"/>
        <v>54704.55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1148672.32</v>
      </c>
      <c r="AS18" s="2">
        <f t="shared" si="1"/>
        <v>760508.39</v>
      </c>
      <c r="AT18" s="2">
        <f t="shared" si="1"/>
        <v>341920.95</v>
      </c>
      <c r="AU18" s="2">
        <f t="shared" ref="AU18:BZ18" si="2">AU361</f>
        <v>46242.98</v>
      </c>
      <c r="AV18" s="2">
        <f t="shared" si="2"/>
        <v>902976.05</v>
      </c>
      <c r="AW18" s="2">
        <f t="shared" si="2"/>
        <v>902976.05</v>
      </c>
      <c r="AX18" s="2">
        <f t="shared" si="2"/>
        <v>0</v>
      </c>
      <c r="AY18" s="2">
        <f t="shared" si="2"/>
        <v>902976.05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CA361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DG361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EM361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FS361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ROW(A329)</f>
        <v>329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45" x14ac:dyDescent="0.2">
      <c r="A22" s="2">
        <v>52</v>
      </c>
      <c r="B22" s="2">
        <f t="shared" ref="B22:G22" si="7">B329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O329</f>
        <v>1006235.74</v>
      </c>
      <c r="P22" s="2">
        <f t="shared" si="8"/>
        <v>902976.05</v>
      </c>
      <c r="Q22" s="2">
        <f t="shared" si="8"/>
        <v>6775.09</v>
      </c>
      <c r="R22" s="2">
        <f t="shared" si="8"/>
        <v>1463.02</v>
      </c>
      <c r="S22" s="2">
        <f t="shared" si="8"/>
        <v>96484.6</v>
      </c>
      <c r="T22" s="2">
        <f t="shared" si="8"/>
        <v>0</v>
      </c>
      <c r="U22" s="2">
        <f t="shared" si="8"/>
        <v>1332.7117816999998</v>
      </c>
      <c r="V22" s="2">
        <f t="shared" si="8"/>
        <v>17.025969</v>
      </c>
      <c r="W22" s="2">
        <f t="shared" si="8"/>
        <v>0</v>
      </c>
      <c r="X22" s="2">
        <f t="shared" si="8"/>
        <v>86927.03</v>
      </c>
      <c r="Y22" s="2">
        <f t="shared" si="8"/>
        <v>54704.55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1148672.32</v>
      </c>
      <c r="AS22" s="2">
        <f t="shared" si="8"/>
        <v>760508.39</v>
      </c>
      <c r="AT22" s="2">
        <f t="shared" si="8"/>
        <v>341920.95</v>
      </c>
      <c r="AU22" s="2">
        <f t="shared" ref="AU22:BZ22" si="9">AU329</f>
        <v>46242.98</v>
      </c>
      <c r="AV22" s="2">
        <f t="shared" si="9"/>
        <v>902976.05</v>
      </c>
      <c r="AW22" s="2">
        <f t="shared" si="9"/>
        <v>902976.05</v>
      </c>
      <c r="AX22" s="2">
        <f t="shared" si="9"/>
        <v>0</v>
      </c>
      <c r="AY22" s="2">
        <f t="shared" si="9"/>
        <v>902976.05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CA329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DG329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EM329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FS329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 s="1">
        <v>4</v>
      </c>
      <c r="B24" s="1">
        <v>1</v>
      </c>
      <c r="C24" s="1"/>
      <c r="D24" s="1">
        <f>ROW(A46)</f>
        <v>46</v>
      </c>
      <c r="E24" s="1"/>
      <c r="F24" s="1" t="s">
        <v>13</v>
      </c>
      <c r="G24" s="1" t="s">
        <v>14</v>
      </c>
      <c r="H24" s="1" t="s">
        <v>6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6</v>
      </c>
      <c r="V24" s="1">
        <v>0</v>
      </c>
      <c r="W24" s="1"/>
      <c r="X24" s="1"/>
      <c r="Y24" s="1"/>
      <c r="Z24" s="1"/>
      <c r="AA24" s="1"/>
      <c r="AB24" s="1" t="s">
        <v>6</v>
      </c>
      <c r="AC24" s="1" t="s">
        <v>6</v>
      </c>
      <c r="AD24" s="1" t="s">
        <v>6</v>
      </c>
      <c r="AE24" s="1" t="s">
        <v>6</v>
      </c>
      <c r="AF24" s="1" t="s">
        <v>6</v>
      </c>
      <c r="AG24" s="1" t="s">
        <v>6</v>
      </c>
      <c r="AH24" s="1"/>
      <c r="AI24" s="1"/>
      <c r="AJ24" s="1"/>
      <c r="AK24" s="1"/>
      <c r="AL24" s="1"/>
      <c r="AM24" s="1"/>
      <c r="AN24" s="1"/>
      <c r="AO24" s="1"/>
      <c r="AP24" s="1" t="s">
        <v>6</v>
      </c>
      <c r="AQ24" s="1" t="s">
        <v>6</v>
      </c>
      <c r="AR24" s="1" t="s">
        <v>6</v>
      </c>
      <c r="AS24" s="1"/>
      <c r="AT24" s="1"/>
      <c r="AU24" s="1"/>
      <c r="AV24" s="1"/>
      <c r="AW24" s="1"/>
      <c r="AX24" s="1"/>
      <c r="AY24" s="1"/>
      <c r="AZ24" s="1" t="s">
        <v>6</v>
      </c>
      <c r="BA24" s="1"/>
      <c r="BB24" s="1" t="s">
        <v>6</v>
      </c>
      <c r="BC24" s="1" t="s">
        <v>6</v>
      </c>
      <c r="BD24" s="1" t="s">
        <v>6</v>
      </c>
      <c r="BE24" s="1" t="s">
        <v>6</v>
      </c>
      <c r="BF24" s="1" t="s">
        <v>6</v>
      </c>
      <c r="BG24" s="1" t="s">
        <v>6</v>
      </c>
      <c r="BH24" s="1" t="s">
        <v>6</v>
      </c>
      <c r="BI24" s="1" t="s">
        <v>6</v>
      </c>
      <c r="BJ24" s="1" t="s">
        <v>6</v>
      </c>
      <c r="BK24" s="1" t="s">
        <v>6</v>
      </c>
      <c r="BL24" s="1" t="s">
        <v>6</v>
      </c>
      <c r="BM24" s="1" t="s">
        <v>6</v>
      </c>
      <c r="BN24" s="1" t="s">
        <v>6</v>
      </c>
      <c r="BO24" s="1" t="s">
        <v>6</v>
      </c>
      <c r="BP24" s="1" t="s">
        <v>6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 x14ac:dyDescent="0.2">
      <c r="A26" s="2">
        <v>52</v>
      </c>
      <c r="B26" s="2">
        <f t="shared" ref="B26:G26" si="14">B46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Демонтаж</v>
      </c>
      <c r="H26" s="2"/>
      <c r="I26" s="2"/>
      <c r="J26" s="2"/>
      <c r="K26" s="2"/>
      <c r="L26" s="2"/>
      <c r="M26" s="2"/>
      <c r="N26" s="2"/>
      <c r="O26" s="2">
        <f t="shared" ref="O26:AT26" si="15">O46</f>
        <v>10591.82</v>
      </c>
      <c r="P26" s="2">
        <f t="shared" si="15"/>
        <v>0</v>
      </c>
      <c r="Q26" s="2">
        <f t="shared" si="15"/>
        <v>746.92</v>
      </c>
      <c r="R26" s="2">
        <f t="shared" si="15"/>
        <v>276.14</v>
      </c>
      <c r="S26" s="2">
        <f t="shared" si="15"/>
        <v>9844.9</v>
      </c>
      <c r="T26" s="2">
        <f t="shared" si="15"/>
        <v>0</v>
      </c>
      <c r="U26" s="2">
        <f t="shared" si="15"/>
        <v>181.258669</v>
      </c>
      <c r="V26" s="2">
        <f t="shared" si="15"/>
        <v>3.0557579999999995</v>
      </c>
      <c r="W26" s="2">
        <f t="shared" si="15"/>
        <v>0</v>
      </c>
      <c r="X26" s="2">
        <f t="shared" si="15"/>
        <v>9277.8799999999992</v>
      </c>
      <c r="Y26" s="2">
        <f t="shared" si="15"/>
        <v>6547.59</v>
      </c>
      <c r="Z26" s="2">
        <f t="shared" si="15"/>
        <v>0</v>
      </c>
      <c r="AA26" s="2">
        <f t="shared" si="15"/>
        <v>0</v>
      </c>
      <c r="AB26" s="2">
        <f t="shared" si="15"/>
        <v>10591.82</v>
      </c>
      <c r="AC26" s="2">
        <f t="shared" si="15"/>
        <v>0</v>
      </c>
      <c r="AD26" s="2">
        <f t="shared" si="15"/>
        <v>746.92</v>
      </c>
      <c r="AE26" s="2">
        <f t="shared" si="15"/>
        <v>276.14</v>
      </c>
      <c r="AF26" s="2">
        <f t="shared" si="15"/>
        <v>9844.9</v>
      </c>
      <c r="AG26" s="2">
        <f t="shared" si="15"/>
        <v>0</v>
      </c>
      <c r="AH26" s="2">
        <f t="shared" si="15"/>
        <v>181.258669</v>
      </c>
      <c r="AI26" s="2">
        <f t="shared" si="15"/>
        <v>3.0557579999999995</v>
      </c>
      <c r="AJ26" s="2">
        <f t="shared" si="15"/>
        <v>0</v>
      </c>
      <c r="AK26" s="2">
        <f t="shared" si="15"/>
        <v>9277.8799999999992</v>
      </c>
      <c r="AL26" s="2">
        <f t="shared" si="15"/>
        <v>6547.59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26417.29</v>
      </c>
      <c r="AS26" s="2">
        <f t="shared" si="15"/>
        <v>23352.720000000001</v>
      </c>
      <c r="AT26" s="2">
        <f t="shared" si="15"/>
        <v>3064.57</v>
      </c>
      <c r="AU26" s="2">
        <f t="shared" ref="AU26:BZ26" si="16">AU46</f>
        <v>0</v>
      </c>
      <c r="AV26" s="2">
        <f t="shared" si="16"/>
        <v>0</v>
      </c>
      <c r="AW26" s="2">
        <f t="shared" si="16"/>
        <v>0</v>
      </c>
      <c r="AX26" s="2">
        <f t="shared" si="16"/>
        <v>0</v>
      </c>
      <c r="AY26" s="2">
        <f t="shared" si="16"/>
        <v>0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CA46</f>
        <v>26417.29</v>
      </c>
      <c r="CB26" s="2">
        <f t="shared" si="17"/>
        <v>23352.720000000001</v>
      </c>
      <c r="CC26" s="2">
        <f t="shared" si="17"/>
        <v>3064.57</v>
      </c>
      <c r="CD26" s="2">
        <f t="shared" si="17"/>
        <v>0</v>
      </c>
      <c r="CE26" s="2">
        <f t="shared" si="17"/>
        <v>0</v>
      </c>
      <c r="CF26" s="2">
        <f t="shared" si="17"/>
        <v>0</v>
      </c>
      <c r="CG26" s="2">
        <f t="shared" si="17"/>
        <v>0</v>
      </c>
      <c r="CH26" s="2">
        <f t="shared" si="17"/>
        <v>0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DG46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EM46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FS46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 x14ac:dyDescent="0.2">
      <c r="A28">
        <v>17</v>
      </c>
      <c r="B28">
        <v>1</v>
      </c>
      <c r="C28">
        <f>ROW(SmtRes!A3)</f>
        <v>3</v>
      </c>
      <c r="D28">
        <f>ROW(EtalonRes!A3)</f>
        <v>3</v>
      </c>
      <c r="E28" t="s">
        <v>15</v>
      </c>
      <c r="F28" t="s">
        <v>16</v>
      </c>
      <c r="G28" t="s">
        <v>17</v>
      </c>
      <c r="H28" t="s">
        <v>18</v>
      </c>
      <c r="I28">
        <f>ROUND(9.45/100,9)</f>
        <v>9.4500000000000001E-2</v>
      </c>
      <c r="J28">
        <v>0</v>
      </c>
      <c r="O28">
        <f t="shared" ref="O28:O44" si="21">ROUND(CP28,2)</f>
        <v>686.46</v>
      </c>
      <c r="P28">
        <f t="shared" ref="P28:P44" si="22">ROUND(CQ28*I28,2)</f>
        <v>0</v>
      </c>
      <c r="Q28">
        <f t="shared" ref="Q28:Q44" si="23">ROUND(CR28*I28,2)</f>
        <v>153.41999999999999</v>
      </c>
      <c r="R28">
        <f t="shared" ref="R28:R44" si="24">ROUND(CS28*I28,2)</f>
        <v>66.260000000000005</v>
      </c>
      <c r="S28">
        <f t="shared" ref="S28:S44" si="25">ROUND(CT28*I28,2)</f>
        <v>533.04</v>
      </c>
      <c r="T28">
        <f t="shared" ref="T28:T44" si="26">ROUND(CU28*I28,2)</f>
        <v>0</v>
      </c>
      <c r="U28">
        <f t="shared" ref="U28:U44" si="27">CV28*I28</f>
        <v>9.8194949999999999</v>
      </c>
      <c r="V28">
        <f t="shared" ref="V28:V44" si="28">CW28*I28</f>
        <v>0.73143000000000002</v>
      </c>
      <c r="W28">
        <f t="shared" ref="W28:W44" si="29">ROUND(CX28*I28,2)</f>
        <v>0</v>
      </c>
      <c r="X28">
        <f t="shared" ref="X28:X44" si="30">ROUND(CY28,2)</f>
        <v>593.30999999999995</v>
      </c>
      <c r="Y28">
        <f t="shared" ref="Y28:Y44" si="31">ROUND(CZ28,2)</f>
        <v>359.58</v>
      </c>
      <c r="AA28">
        <v>16808636</v>
      </c>
      <c r="AB28">
        <f t="shared" ref="AB28:AB44" si="32">ROUND((AC28+AD28+AF28),2)</f>
        <v>1082.58</v>
      </c>
      <c r="AC28">
        <f>ROUND((ES28),2)</f>
        <v>0</v>
      </c>
      <c r="AD28">
        <f>ROUND((((ET28)-(EU28))+AE28),2)</f>
        <v>241.95</v>
      </c>
      <c r="AE28">
        <f t="shared" ref="AE28:AF31" si="33">ROUND((EU28),2)</f>
        <v>104.49</v>
      </c>
      <c r="AF28">
        <f t="shared" si="33"/>
        <v>840.63</v>
      </c>
      <c r="AG28">
        <f t="shared" ref="AG28:AG44" si="34">ROUND((AP28),2)</f>
        <v>0</v>
      </c>
      <c r="AH28">
        <f t="shared" ref="AH28:AI31" si="35">(EW28)</f>
        <v>103.91</v>
      </c>
      <c r="AI28">
        <f t="shared" si="35"/>
        <v>7.74</v>
      </c>
      <c r="AJ28">
        <f t="shared" ref="AJ28:AJ44" si="36">(AS28)</f>
        <v>0</v>
      </c>
      <c r="AK28">
        <v>1082.58</v>
      </c>
      <c r="AL28">
        <v>0</v>
      </c>
      <c r="AM28">
        <v>241.95</v>
      </c>
      <c r="AN28">
        <v>104.49</v>
      </c>
      <c r="AO28">
        <v>840.63</v>
      </c>
      <c r="AP28">
        <v>0</v>
      </c>
      <c r="AQ28">
        <v>103.91</v>
      </c>
      <c r="AR28">
        <v>7.74</v>
      </c>
      <c r="AS28">
        <v>0</v>
      </c>
      <c r="AT28">
        <v>99</v>
      </c>
      <c r="AU28">
        <v>60</v>
      </c>
      <c r="AV28">
        <v>1</v>
      </c>
      <c r="AW28">
        <v>1</v>
      </c>
      <c r="AZ28">
        <v>6.71</v>
      </c>
      <c r="BA28">
        <v>6.71</v>
      </c>
      <c r="BB28">
        <v>6.71</v>
      </c>
      <c r="BC28">
        <v>6.71</v>
      </c>
      <c r="BD28" t="s">
        <v>6</v>
      </c>
      <c r="BE28" t="s">
        <v>6</v>
      </c>
      <c r="BF28" t="s">
        <v>6</v>
      </c>
      <c r="BG28" t="s">
        <v>6</v>
      </c>
      <c r="BH28">
        <v>0</v>
      </c>
      <c r="BI28">
        <v>1</v>
      </c>
      <c r="BJ28" t="s">
        <v>19</v>
      </c>
      <c r="BM28">
        <v>46001</v>
      </c>
      <c r="BN28">
        <v>0</v>
      </c>
      <c r="BO28" t="s">
        <v>6</v>
      </c>
      <c r="BP28">
        <v>0</v>
      </c>
      <c r="BQ28">
        <v>2</v>
      </c>
      <c r="BR28">
        <v>0</v>
      </c>
      <c r="BS28">
        <v>6.71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6</v>
      </c>
      <c r="BZ28">
        <v>110</v>
      </c>
      <c r="CA28">
        <v>70</v>
      </c>
      <c r="CE28">
        <v>0</v>
      </c>
      <c r="CF28">
        <v>0</v>
      </c>
      <c r="CG28">
        <v>0</v>
      </c>
      <c r="CM28">
        <v>0</v>
      </c>
      <c r="CN28" t="s">
        <v>6</v>
      </c>
      <c r="CO28">
        <v>0</v>
      </c>
      <c r="CP28">
        <f t="shared" ref="CP28:CP44" si="37">(P28+Q28+S28)</f>
        <v>686.45999999999992</v>
      </c>
      <c r="CQ28">
        <f t="shared" ref="CQ28:CQ44" si="38">AC28*BC28</f>
        <v>0</v>
      </c>
      <c r="CR28">
        <f t="shared" ref="CR28:CR44" si="39">AD28*BB28</f>
        <v>1623.4845</v>
      </c>
      <c r="CS28">
        <f t="shared" ref="CS28:CS44" si="40">AE28*BS28</f>
        <v>701.12789999999995</v>
      </c>
      <c r="CT28">
        <f t="shared" ref="CT28:CT44" si="41">AF28*BA28</f>
        <v>5640.6273000000001</v>
      </c>
      <c r="CU28">
        <f t="shared" ref="CU28:CU44" si="42">AG28</f>
        <v>0</v>
      </c>
      <c r="CV28">
        <f t="shared" ref="CV28:CV44" si="43">AH28</f>
        <v>103.91</v>
      </c>
      <c r="CW28">
        <f t="shared" ref="CW28:CW44" si="44">AI28</f>
        <v>7.74</v>
      </c>
      <c r="CX28">
        <f t="shared" ref="CX28:CX44" si="45">AJ28</f>
        <v>0</v>
      </c>
      <c r="CY28">
        <f t="shared" ref="CY28:CY44" si="46">(((S28+R28)*AT28)/100)</f>
        <v>593.30700000000002</v>
      </c>
      <c r="CZ28">
        <f t="shared" ref="CZ28:CZ44" si="47">(((S28+R28)*AU28)/100)</f>
        <v>359.58</v>
      </c>
      <c r="DC28" t="s">
        <v>6</v>
      </c>
      <c r="DD28" t="s">
        <v>6</v>
      </c>
      <c r="DE28" t="s">
        <v>6</v>
      </c>
      <c r="DF28" t="s">
        <v>6</v>
      </c>
      <c r="DG28" t="s">
        <v>6</v>
      </c>
      <c r="DH28" t="s">
        <v>6</v>
      </c>
      <c r="DI28" t="s">
        <v>6</v>
      </c>
      <c r="DJ28" t="s">
        <v>6</v>
      </c>
      <c r="DK28" t="s">
        <v>6</v>
      </c>
      <c r="DL28" t="s">
        <v>6</v>
      </c>
      <c r="DM28" t="s">
        <v>6</v>
      </c>
      <c r="DN28">
        <v>0</v>
      </c>
      <c r="DO28">
        <v>0</v>
      </c>
      <c r="DP28">
        <v>1</v>
      </c>
      <c r="DQ28">
        <v>1</v>
      </c>
      <c r="DU28">
        <v>1005</v>
      </c>
      <c r="DV28" t="s">
        <v>18</v>
      </c>
      <c r="DW28" t="s">
        <v>18</v>
      </c>
      <c r="DX28">
        <v>100</v>
      </c>
      <c r="EE28">
        <v>16510555</v>
      </c>
      <c r="EF28">
        <v>2</v>
      </c>
      <c r="EG28" t="s">
        <v>20</v>
      </c>
      <c r="EH28">
        <v>0</v>
      </c>
      <c r="EI28" t="s">
        <v>6</v>
      </c>
      <c r="EJ28">
        <v>1</v>
      </c>
      <c r="EK28">
        <v>46001</v>
      </c>
      <c r="EL28" t="s">
        <v>21</v>
      </c>
      <c r="EM28" t="s">
        <v>22</v>
      </c>
      <c r="EO28" t="s">
        <v>6</v>
      </c>
      <c r="EQ28">
        <v>0</v>
      </c>
      <c r="ER28">
        <v>1082.58</v>
      </c>
      <c r="ES28">
        <v>0</v>
      </c>
      <c r="ET28">
        <v>241.95</v>
      </c>
      <c r="EU28">
        <v>104.49</v>
      </c>
      <c r="EV28">
        <v>840.63</v>
      </c>
      <c r="EW28">
        <v>103.91</v>
      </c>
      <c r="EX28">
        <v>7.74</v>
      </c>
      <c r="EY28">
        <v>0</v>
      </c>
      <c r="FQ28">
        <v>0</v>
      </c>
      <c r="FR28">
        <f t="shared" ref="FR28:FR44" si="48">ROUND(IF(AND(BH28=3,BI28=3),P28,0),2)</f>
        <v>0</v>
      </c>
      <c r="FS28">
        <v>0</v>
      </c>
      <c r="FT28" t="s">
        <v>23</v>
      </c>
      <c r="FU28" t="s">
        <v>24</v>
      </c>
      <c r="FX28">
        <v>99</v>
      </c>
      <c r="FY28">
        <v>59.5</v>
      </c>
      <c r="GA28" t="s">
        <v>6</v>
      </c>
      <c r="GD28">
        <v>0</v>
      </c>
      <c r="GF28">
        <v>309229644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ref="GL28:GL44" si="49">ROUND(IF(AND(BH28=3,BI28=3,FS28&lt;&gt;0),P28,0),2)</f>
        <v>0</v>
      </c>
      <c r="GM28">
        <f t="shared" ref="GM28:GM44" si="50">ROUND(O28+X28+Y28+GK28,2)+GX28</f>
        <v>1639.35</v>
      </c>
      <c r="GN28">
        <f t="shared" ref="GN28:GN44" si="51">IF(OR(BI28=0,BI28=1),ROUND(O28+X28+Y28+GK28,2),0)</f>
        <v>1639.35</v>
      </c>
      <c r="GO28">
        <f t="shared" ref="GO28:GO44" si="52">IF(BI28=2,ROUND(O28+X28+Y28+GK28,2),0)</f>
        <v>0</v>
      </c>
      <c r="GP28">
        <f t="shared" ref="GP28:GP44" si="53">IF(BI28=4,ROUND(O28+X28+Y28+GK28,2)+GX28,0)</f>
        <v>0</v>
      </c>
      <c r="GR28">
        <v>0</v>
      </c>
      <c r="GS28">
        <v>3</v>
      </c>
      <c r="GT28">
        <v>0</v>
      </c>
      <c r="GU28" t="s">
        <v>6</v>
      </c>
      <c r="GV28">
        <f t="shared" ref="GV28:GV44" si="54">ROUND((GT28),2)</f>
        <v>0</v>
      </c>
      <c r="GW28">
        <v>1</v>
      </c>
      <c r="GX28">
        <f t="shared" ref="GX28:GX44" si="55">ROUND(HC28*I28,2)</f>
        <v>0</v>
      </c>
      <c r="HA28">
        <v>0</v>
      </c>
      <c r="HB28">
        <v>0</v>
      </c>
      <c r="HC28">
        <f t="shared" ref="HC28:HC44" si="56">GV28*GW28</f>
        <v>0</v>
      </c>
      <c r="IK28">
        <v>0</v>
      </c>
    </row>
    <row r="29" spans="1:245" x14ac:dyDescent="0.2">
      <c r="A29">
        <v>17</v>
      </c>
      <c r="B29">
        <v>1</v>
      </c>
      <c r="C29">
        <f>ROW(SmtRes!A6)</f>
        <v>6</v>
      </c>
      <c r="D29">
        <f>ROW(EtalonRes!A6)</f>
        <v>6</v>
      </c>
      <c r="E29" t="s">
        <v>25</v>
      </c>
      <c r="F29" t="s">
        <v>26</v>
      </c>
      <c r="G29" t="s">
        <v>27</v>
      </c>
      <c r="H29" t="s">
        <v>28</v>
      </c>
      <c r="I29">
        <f>ROUND(48/100,9)</f>
        <v>0.48</v>
      </c>
      <c r="J29">
        <v>0</v>
      </c>
      <c r="O29">
        <f t="shared" si="21"/>
        <v>470.17</v>
      </c>
      <c r="P29">
        <f t="shared" si="22"/>
        <v>0</v>
      </c>
      <c r="Q29">
        <f t="shared" si="23"/>
        <v>8.0500000000000007</v>
      </c>
      <c r="R29">
        <f t="shared" si="24"/>
        <v>3.48</v>
      </c>
      <c r="S29">
        <f t="shared" si="25"/>
        <v>462.12</v>
      </c>
      <c r="T29">
        <f t="shared" si="26"/>
        <v>0</v>
      </c>
      <c r="U29">
        <f t="shared" si="27"/>
        <v>8.5871999999999993</v>
      </c>
      <c r="V29">
        <f t="shared" si="28"/>
        <v>3.8399999999999997E-2</v>
      </c>
      <c r="W29">
        <f t="shared" si="29"/>
        <v>0</v>
      </c>
      <c r="X29">
        <f t="shared" si="30"/>
        <v>395.76</v>
      </c>
      <c r="Y29">
        <f t="shared" si="31"/>
        <v>302.64</v>
      </c>
      <c r="AA29">
        <v>16808636</v>
      </c>
      <c r="AB29">
        <f t="shared" si="32"/>
        <v>145.97999999999999</v>
      </c>
      <c r="AC29">
        <f>ROUND((ES29),2)</f>
        <v>0</v>
      </c>
      <c r="AD29">
        <f>ROUND((((ET29)-(EU29))+AE29),2)</f>
        <v>2.5</v>
      </c>
      <c r="AE29">
        <f t="shared" si="33"/>
        <v>1.08</v>
      </c>
      <c r="AF29">
        <f t="shared" si="33"/>
        <v>143.47999999999999</v>
      </c>
      <c r="AG29">
        <f t="shared" si="34"/>
        <v>0</v>
      </c>
      <c r="AH29">
        <f t="shared" si="35"/>
        <v>17.89</v>
      </c>
      <c r="AI29">
        <f t="shared" si="35"/>
        <v>0.08</v>
      </c>
      <c r="AJ29">
        <f t="shared" si="36"/>
        <v>0</v>
      </c>
      <c r="AK29">
        <v>145.97999999999999</v>
      </c>
      <c r="AL29">
        <v>0</v>
      </c>
      <c r="AM29">
        <v>2.5</v>
      </c>
      <c r="AN29">
        <v>1.08</v>
      </c>
      <c r="AO29">
        <v>143.47999999999999</v>
      </c>
      <c r="AP29">
        <v>0</v>
      </c>
      <c r="AQ29">
        <v>17.89</v>
      </c>
      <c r="AR29">
        <v>0.08</v>
      </c>
      <c r="AS29">
        <v>0</v>
      </c>
      <c r="AT29">
        <v>85</v>
      </c>
      <c r="AU29">
        <v>65</v>
      </c>
      <c r="AV29">
        <v>1</v>
      </c>
      <c r="AW29">
        <v>1</v>
      </c>
      <c r="AZ29">
        <v>6.71</v>
      </c>
      <c r="BA29">
        <v>6.71</v>
      </c>
      <c r="BB29">
        <v>6.71</v>
      </c>
      <c r="BC29">
        <v>6.71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29</v>
      </c>
      <c r="BM29">
        <v>67001</v>
      </c>
      <c r="BN29">
        <v>0</v>
      </c>
      <c r="BO29" t="s">
        <v>6</v>
      </c>
      <c r="BP29">
        <v>0</v>
      </c>
      <c r="BQ29">
        <v>6</v>
      </c>
      <c r="BR29">
        <v>0</v>
      </c>
      <c r="BS29">
        <v>6.71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85</v>
      </c>
      <c r="CA29">
        <v>65</v>
      </c>
      <c r="CE29">
        <v>0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37"/>
        <v>470.17</v>
      </c>
      <c r="CQ29">
        <f t="shared" si="38"/>
        <v>0</v>
      </c>
      <c r="CR29">
        <f t="shared" si="39"/>
        <v>16.774999999999999</v>
      </c>
      <c r="CS29">
        <f t="shared" si="40"/>
        <v>7.2468000000000004</v>
      </c>
      <c r="CT29">
        <f t="shared" si="41"/>
        <v>962.75079999999991</v>
      </c>
      <c r="CU29">
        <f t="shared" si="42"/>
        <v>0</v>
      </c>
      <c r="CV29">
        <f t="shared" si="43"/>
        <v>17.89</v>
      </c>
      <c r="CW29">
        <f t="shared" si="44"/>
        <v>0.08</v>
      </c>
      <c r="CX29">
        <f t="shared" si="45"/>
        <v>0</v>
      </c>
      <c r="CY29">
        <f t="shared" si="46"/>
        <v>395.76</v>
      </c>
      <c r="CZ29">
        <f t="shared" si="47"/>
        <v>302.64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1013</v>
      </c>
      <c r="DV29" t="s">
        <v>28</v>
      </c>
      <c r="DW29" t="s">
        <v>28</v>
      </c>
      <c r="DX29">
        <v>1</v>
      </c>
      <c r="EE29">
        <v>16510612</v>
      </c>
      <c r="EF29">
        <v>6</v>
      </c>
      <c r="EG29" t="s">
        <v>30</v>
      </c>
      <c r="EH29">
        <v>0</v>
      </c>
      <c r="EI29" t="s">
        <v>6</v>
      </c>
      <c r="EJ29">
        <v>1</v>
      </c>
      <c r="EK29">
        <v>67001</v>
      </c>
      <c r="EL29" t="s">
        <v>31</v>
      </c>
      <c r="EM29" t="s">
        <v>32</v>
      </c>
      <c r="EO29" t="s">
        <v>6</v>
      </c>
      <c r="EQ29">
        <v>0</v>
      </c>
      <c r="ER29">
        <v>145.97999999999999</v>
      </c>
      <c r="ES29">
        <v>0</v>
      </c>
      <c r="ET29">
        <v>2.5</v>
      </c>
      <c r="EU29">
        <v>1.08</v>
      </c>
      <c r="EV29">
        <v>143.47999999999999</v>
      </c>
      <c r="EW29">
        <v>17.89</v>
      </c>
      <c r="EX29">
        <v>0.08</v>
      </c>
      <c r="EY29">
        <v>0</v>
      </c>
      <c r="FQ29">
        <v>0</v>
      </c>
      <c r="FR29">
        <f t="shared" si="48"/>
        <v>0</v>
      </c>
      <c r="FS29">
        <v>0</v>
      </c>
      <c r="FX29">
        <v>85</v>
      </c>
      <c r="FY29">
        <v>65</v>
      </c>
      <c r="GA29" t="s">
        <v>6</v>
      </c>
      <c r="GD29">
        <v>0</v>
      </c>
      <c r="GF29">
        <v>-436817836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9"/>
        <v>0</v>
      </c>
      <c r="GM29">
        <f t="shared" si="50"/>
        <v>1168.57</v>
      </c>
      <c r="GN29">
        <f t="shared" si="51"/>
        <v>1168.57</v>
      </c>
      <c r="GO29">
        <f t="shared" si="52"/>
        <v>0</v>
      </c>
      <c r="GP29">
        <f t="shared" si="53"/>
        <v>0</v>
      </c>
      <c r="GR29">
        <v>0</v>
      </c>
      <c r="GS29">
        <v>3</v>
      </c>
      <c r="GT29">
        <v>0</v>
      </c>
      <c r="GU29" t="s">
        <v>6</v>
      </c>
      <c r="GV29">
        <f t="shared" si="54"/>
        <v>0</v>
      </c>
      <c r="GW29">
        <v>1</v>
      </c>
      <c r="GX29">
        <f t="shared" si="55"/>
        <v>0</v>
      </c>
      <c r="HA29">
        <v>0</v>
      </c>
      <c r="HB29">
        <v>0</v>
      </c>
      <c r="HC29">
        <f t="shared" si="56"/>
        <v>0</v>
      </c>
      <c r="IK29">
        <v>0</v>
      </c>
    </row>
    <row r="30" spans="1:245" x14ac:dyDescent="0.2">
      <c r="A30">
        <v>17</v>
      </c>
      <c r="B30">
        <v>1</v>
      </c>
      <c r="C30">
        <f>ROW(SmtRes!A7)</f>
        <v>7</v>
      </c>
      <c r="D30">
        <f>ROW(EtalonRes!A7)</f>
        <v>7</v>
      </c>
      <c r="E30" t="s">
        <v>33</v>
      </c>
      <c r="F30" t="s">
        <v>34</v>
      </c>
      <c r="G30" t="s">
        <v>35</v>
      </c>
      <c r="H30" t="s">
        <v>28</v>
      </c>
      <c r="I30">
        <f>ROUND(46/100,9)</f>
        <v>0.46</v>
      </c>
      <c r="J30">
        <v>0</v>
      </c>
      <c r="O30">
        <f t="shared" si="21"/>
        <v>140.59</v>
      </c>
      <c r="P30">
        <f t="shared" si="22"/>
        <v>0</v>
      </c>
      <c r="Q30">
        <f t="shared" si="23"/>
        <v>0</v>
      </c>
      <c r="R30">
        <f t="shared" si="24"/>
        <v>0</v>
      </c>
      <c r="S30">
        <f t="shared" si="25"/>
        <v>140.59</v>
      </c>
      <c r="T30">
        <f t="shared" si="26"/>
        <v>0</v>
      </c>
      <c r="U30">
        <f t="shared" si="27"/>
        <v>2.6863999999999999</v>
      </c>
      <c r="V30">
        <f t="shared" si="28"/>
        <v>0</v>
      </c>
      <c r="W30">
        <f t="shared" si="29"/>
        <v>0</v>
      </c>
      <c r="X30">
        <f t="shared" si="30"/>
        <v>119.5</v>
      </c>
      <c r="Y30">
        <f t="shared" si="31"/>
        <v>91.38</v>
      </c>
      <c r="AA30">
        <v>16808636</v>
      </c>
      <c r="AB30">
        <f t="shared" si="32"/>
        <v>45.55</v>
      </c>
      <c r="AC30">
        <f>ROUND((ES30),2)</f>
        <v>0</v>
      </c>
      <c r="AD30">
        <f>ROUND((((ET30)-(EU30))+AE30),2)</f>
        <v>0</v>
      </c>
      <c r="AE30">
        <f t="shared" si="33"/>
        <v>0</v>
      </c>
      <c r="AF30">
        <f t="shared" si="33"/>
        <v>45.55</v>
      </c>
      <c r="AG30">
        <f t="shared" si="34"/>
        <v>0</v>
      </c>
      <c r="AH30">
        <f t="shared" si="35"/>
        <v>5.84</v>
      </c>
      <c r="AI30">
        <f t="shared" si="35"/>
        <v>0</v>
      </c>
      <c r="AJ30">
        <f t="shared" si="36"/>
        <v>0</v>
      </c>
      <c r="AK30">
        <v>45.55</v>
      </c>
      <c r="AL30">
        <v>0</v>
      </c>
      <c r="AM30">
        <v>0</v>
      </c>
      <c r="AN30">
        <v>0</v>
      </c>
      <c r="AO30">
        <v>45.55</v>
      </c>
      <c r="AP30">
        <v>0</v>
      </c>
      <c r="AQ30">
        <v>5.84</v>
      </c>
      <c r="AR30">
        <v>0</v>
      </c>
      <c r="AS30">
        <v>0</v>
      </c>
      <c r="AT30">
        <v>85</v>
      </c>
      <c r="AU30">
        <v>65</v>
      </c>
      <c r="AV30">
        <v>1</v>
      </c>
      <c r="AW30">
        <v>1</v>
      </c>
      <c r="AZ30">
        <v>6.71</v>
      </c>
      <c r="BA30">
        <v>6.71</v>
      </c>
      <c r="BB30">
        <v>6.71</v>
      </c>
      <c r="BC30">
        <v>6.71</v>
      </c>
      <c r="BD30" t="s">
        <v>6</v>
      </c>
      <c r="BE30" t="s">
        <v>6</v>
      </c>
      <c r="BF30" t="s">
        <v>6</v>
      </c>
      <c r="BG30" t="s">
        <v>6</v>
      </c>
      <c r="BH30">
        <v>0</v>
      </c>
      <c r="BI30">
        <v>1</v>
      </c>
      <c r="BJ30" t="s">
        <v>36</v>
      </c>
      <c r="BM30">
        <v>67001</v>
      </c>
      <c r="BN30">
        <v>0</v>
      </c>
      <c r="BO30" t="s">
        <v>6</v>
      </c>
      <c r="BP30">
        <v>0</v>
      </c>
      <c r="BQ30">
        <v>6</v>
      </c>
      <c r="BR30">
        <v>0</v>
      </c>
      <c r="BS30">
        <v>6.71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6</v>
      </c>
      <c r="BZ30">
        <v>85</v>
      </c>
      <c r="CA30">
        <v>65</v>
      </c>
      <c r="CE30">
        <v>0</v>
      </c>
      <c r="CF30">
        <v>0</v>
      </c>
      <c r="CG30">
        <v>0</v>
      </c>
      <c r="CM30">
        <v>0</v>
      </c>
      <c r="CN30" t="s">
        <v>6</v>
      </c>
      <c r="CO30">
        <v>0</v>
      </c>
      <c r="CP30">
        <f t="shared" si="37"/>
        <v>140.59</v>
      </c>
      <c r="CQ30">
        <f t="shared" si="38"/>
        <v>0</v>
      </c>
      <c r="CR30">
        <f t="shared" si="39"/>
        <v>0</v>
      </c>
      <c r="CS30">
        <f t="shared" si="40"/>
        <v>0</v>
      </c>
      <c r="CT30">
        <f t="shared" si="41"/>
        <v>305.64049999999997</v>
      </c>
      <c r="CU30">
        <f t="shared" si="42"/>
        <v>0</v>
      </c>
      <c r="CV30">
        <f t="shared" si="43"/>
        <v>5.84</v>
      </c>
      <c r="CW30">
        <f t="shared" si="44"/>
        <v>0</v>
      </c>
      <c r="CX30">
        <f t="shared" si="45"/>
        <v>0</v>
      </c>
      <c r="CY30">
        <f t="shared" si="46"/>
        <v>119.50149999999999</v>
      </c>
      <c r="CZ30">
        <f t="shared" si="47"/>
        <v>91.383499999999998</v>
      </c>
      <c r="DC30" t="s">
        <v>6</v>
      </c>
      <c r="DD30" t="s">
        <v>6</v>
      </c>
      <c r="DE30" t="s">
        <v>6</v>
      </c>
      <c r="DF30" t="s">
        <v>6</v>
      </c>
      <c r="DG30" t="s">
        <v>6</v>
      </c>
      <c r="DH30" t="s">
        <v>6</v>
      </c>
      <c r="DI30" t="s">
        <v>6</v>
      </c>
      <c r="DJ30" t="s">
        <v>6</v>
      </c>
      <c r="DK30" t="s">
        <v>6</v>
      </c>
      <c r="DL30" t="s">
        <v>6</v>
      </c>
      <c r="DM30" t="s">
        <v>6</v>
      </c>
      <c r="DN30">
        <v>0</v>
      </c>
      <c r="DO30">
        <v>0</v>
      </c>
      <c r="DP30">
        <v>1</v>
      </c>
      <c r="DQ30">
        <v>1</v>
      </c>
      <c r="DU30">
        <v>1013</v>
      </c>
      <c r="DV30" t="s">
        <v>28</v>
      </c>
      <c r="DW30" t="s">
        <v>28</v>
      </c>
      <c r="DX30">
        <v>1</v>
      </c>
      <c r="EE30">
        <v>16510612</v>
      </c>
      <c r="EF30">
        <v>6</v>
      </c>
      <c r="EG30" t="s">
        <v>30</v>
      </c>
      <c r="EH30">
        <v>0</v>
      </c>
      <c r="EI30" t="s">
        <v>6</v>
      </c>
      <c r="EJ30">
        <v>1</v>
      </c>
      <c r="EK30">
        <v>67001</v>
      </c>
      <c r="EL30" t="s">
        <v>31</v>
      </c>
      <c r="EM30" t="s">
        <v>32</v>
      </c>
      <c r="EO30" t="s">
        <v>6</v>
      </c>
      <c r="EQ30">
        <v>0</v>
      </c>
      <c r="ER30">
        <v>45.55</v>
      </c>
      <c r="ES30">
        <v>0</v>
      </c>
      <c r="ET30">
        <v>0</v>
      </c>
      <c r="EU30">
        <v>0</v>
      </c>
      <c r="EV30">
        <v>45.55</v>
      </c>
      <c r="EW30">
        <v>5.84</v>
      </c>
      <c r="EX30">
        <v>0</v>
      </c>
      <c r="EY30">
        <v>0</v>
      </c>
      <c r="FQ30">
        <v>0</v>
      </c>
      <c r="FR30">
        <f t="shared" si="48"/>
        <v>0</v>
      </c>
      <c r="FS30">
        <v>0</v>
      </c>
      <c r="FX30">
        <v>85</v>
      </c>
      <c r="FY30">
        <v>65</v>
      </c>
      <c r="GA30" t="s">
        <v>6</v>
      </c>
      <c r="GD30">
        <v>0</v>
      </c>
      <c r="GF30">
        <v>-729058478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9"/>
        <v>0</v>
      </c>
      <c r="GM30">
        <f t="shared" si="50"/>
        <v>351.47</v>
      </c>
      <c r="GN30">
        <f t="shared" si="51"/>
        <v>351.47</v>
      </c>
      <c r="GO30">
        <f t="shared" si="52"/>
        <v>0</v>
      </c>
      <c r="GP30">
        <f t="shared" si="53"/>
        <v>0</v>
      </c>
      <c r="GR30">
        <v>0</v>
      </c>
      <c r="GS30">
        <v>3</v>
      </c>
      <c r="GT30">
        <v>0</v>
      </c>
      <c r="GU30" t="s">
        <v>6</v>
      </c>
      <c r="GV30">
        <f t="shared" si="54"/>
        <v>0</v>
      </c>
      <c r="GW30">
        <v>1</v>
      </c>
      <c r="GX30">
        <f t="shared" si="55"/>
        <v>0</v>
      </c>
      <c r="HA30">
        <v>0</v>
      </c>
      <c r="HB30">
        <v>0</v>
      </c>
      <c r="HC30">
        <f t="shared" si="56"/>
        <v>0</v>
      </c>
      <c r="IK30">
        <v>0</v>
      </c>
    </row>
    <row r="31" spans="1:245" x14ac:dyDescent="0.2">
      <c r="A31">
        <v>17</v>
      </c>
      <c r="B31">
        <v>1</v>
      </c>
      <c r="C31">
        <f>ROW(SmtRes!A10)</f>
        <v>10</v>
      </c>
      <c r="D31">
        <f>ROW(EtalonRes!A10)</f>
        <v>10</v>
      </c>
      <c r="E31" t="s">
        <v>37</v>
      </c>
      <c r="F31" t="s">
        <v>38</v>
      </c>
      <c r="G31" t="s">
        <v>39</v>
      </c>
      <c r="H31" t="s">
        <v>40</v>
      </c>
      <c r="I31">
        <f>ROUND(115/100,9)</f>
        <v>1.1499999999999999</v>
      </c>
      <c r="J31">
        <v>0</v>
      </c>
      <c r="O31">
        <f t="shared" si="21"/>
        <v>582.59</v>
      </c>
      <c r="P31">
        <f t="shared" si="22"/>
        <v>0</v>
      </c>
      <c r="Q31">
        <f t="shared" si="23"/>
        <v>2.39</v>
      </c>
      <c r="R31">
        <f t="shared" si="24"/>
        <v>1.08</v>
      </c>
      <c r="S31">
        <f t="shared" si="25"/>
        <v>580.20000000000005</v>
      </c>
      <c r="T31">
        <f t="shared" si="26"/>
        <v>0</v>
      </c>
      <c r="U31">
        <f t="shared" si="27"/>
        <v>11.086</v>
      </c>
      <c r="V31">
        <f t="shared" si="28"/>
        <v>1.15E-2</v>
      </c>
      <c r="W31">
        <f t="shared" si="29"/>
        <v>0</v>
      </c>
      <c r="X31">
        <f t="shared" si="30"/>
        <v>494.09</v>
      </c>
      <c r="Y31">
        <f t="shared" si="31"/>
        <v>377.83</v>
      </c>
      <c r="AA31">
        <v>16808636</v>
      </c>
      <c r="AB31">
        <f t="shared" si="32"/>
        <v>75.5</v>
      </c>
      <c r="AC31">
        <f>ROUND((ES31),2)</f>
        <v>0</v>
      </c>
      <c r="AD31">
        <f>ROUND((((ET31)-(EU31))+AE31),2)</f>
        <v>0.31</v>
      </c>
      <c r="AE31">
        <f t="shared" si="33"/>
        <v>0.14000000000000001</v>
      </c>
      <c r="AF31">
        <f t="shared" si="33"/>
        <v>75.19</v>
      </c>
      <c r="AG31">
        <f t="shared" si="34"/>
        <v>0</v>
      </c>
      <c r="AH31">
        <f t="shared" si="35"/>
        <v>9.64</v>
      </c>
      <c r="AI31">
        <f t="shared" si="35"/>
        <v>0.01</v>
      </c>
      <c r="AJ31">
        <f t="shared" si="36"/>
        <v>0</v>
      </c>
      <c r="AK31">
        <v>75.5</v>
      </c>
      <c r="AL31">
        <v>0</v>
      </c>
      <c r="AM31">
        <v>0.31</v>
      </c>
      <c r="AN31">
        <v>0.14000000000000001</v>
      </c>
      <c r="AO31">
        <v>75.19</v>
      </c>
      <c r="AP31">
        <v>0</v>
      </c>
      <c r="AQ31">
        <v>9.64</v>
      </c>
      <c r="AR31">
        <v>0.01</v>
      </c>
      <c r="AS31">
        <v>0</v>
      </c>
      <c r="AT31">
        <v>85</v>
      </c>
      <c r="AU31">
        <v>65</v>
      </c>
      <c r="AV31">
        <v>1</v>
      </c>
      <c r="AW31">
        <v>1</v>
      </c>
      <c r="AZ31">
        <v>6.71</v>
      </c>
      <c r="BA31">
        <v>6.71</v>
      </c>
      <c r="BB31">
        <v>6.71</v>
      </c>
      <c r="BC31">
        <v>6.71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41</v>
      </c>
      <c r="BM31">
        <v>67001</v>
      </c>
      <c r="BN31">
        <v>0</v>
      </c>
      <c r="BO31" t="s">
        <v>6</v>
      </c>
      <c r="BP31">
        <v>0</v>
      </c>
      <c r="BQ31">
        <v>6</v>
      </c>
      <c r="BR31">
        <v>0</v>
      </c>
      <c r="BS31">
        <v>6.71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85</v>
      </c>
      <c r="CA31">
        <v>65</v>
      </c>
      <c r="CE31">
        <v>0</v>
      </c>
      <c r="CF31">
        <v>0</v>
      </c>
      <c r="CG31">
        <v>0</v>
      </c>
      <c r="CM31">
        <v>0</v>
      </c>
      <c r="CN31" t="s">
        <v>6</v>
      </c>
      <c r="CO31">
        <v>0</v>
      </c>
      <c r="CP31">
        <f t="shared" si="37"/>
        <v>582.59</v>
      </c>
      <c r="CQ31">
        <f t="shared" si="38"/>
        <v>0</v>
      </c>
      <c r="CR31">
        <f t="shared" si="39"/>
        <v>2.0800999999999998</v>
      </c>
      <c r="CS31">
        <f t="shared" si="40"/>
        <v>0.93940000000000012</v>
      </c>
      <c r="CT31">
        <f t="shared" si="41"/>
        <v>504.5249</v>
      </c>
      <c r="CU31">
        <f t="shared" si="42"/>
        <v>0</v>
      </c>
      <c r="CV31">
        <f t="shared" si="43"/>
        <v>9.64</v>
      </c>
      <c r="CW31">
        <f t="shared" si="44"/>
        <v>0.01</v>
      </c>
      <c r="CX31">
        <f t="shared" si="45"/>
        <v>0</v>
      </c>
      <c r="CY31">
        <f t="shared" si="46"/>
        <v>494.08800000000008</v>
      </c>
      <c r="CZ31">
        <f t="shared" si="47"/>
        <v>377.83200000000005</v>
      </c>
      <c r="DC31" t="s">
        <v>6</v>
      </c>
      <c r="DD31" t="s">
        <v>6</v>
      </c>
      <c r="DE31" t="s">
        <v>6</v>
      </c>
      <c r="DF31" t="s">
        <v>6</v>
      </c>
      <c r="DG31" t="s">
        <v>6</v>
      </c>
      <c r="DH31" t="s">
        <v>6</v>
      </c>
      <c r="DI31" t="s">
        <v>6</v>
      </c>
      <c r="DJ31" t="s">
        <v>6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1003</v>
      </c>
      <c r="DV31" t="s">
        <v>40</v>
      </c>
      <c r="DW31" t="s">
        <v>40</v>
      </c>
      <c r="DX31">
        <v>100</v>
      </c>
      <c r="EE31">
        <v>16510612</v>
      </c>
      <c r="EF31">
        <v>6</v>
      </c>
      <c r="EG31" t="s">
        <v>30</v>
      </c>
      <c r="EH31">
        <v>0</v>
      </c>
      <c r="EI31" t="s">
        <v>6</v>
      </c>
      <c r="EJ31">
        <v>1</v>
      </c>
      <c r="EK31">
        <v>67001</v>
      </c>
      <c r="EL31" t="s">
        <v>31</v>
      </c>
      <c r="EM31" t="s">
        <v>32</v>
      </c>
      <c r="EO31" t="s">
        <v>6</v>
      </c>
      <c r="EQ31">
        <v>0</v>
      </c>
      <c r="ER31">
        <v>75.5</v>
      </c>
      <c r="ES31">
        <v>0</v>
      </c>
      <c r="ET31">
        <v>0.31</v>
      </c>
      <c r="EU31">
        <v>0.14000000000000001</v>
      </c>
      <c r="EV31">
        <v>75.19</v>
      </c>
      <c r="EW31">
        <v>9.64</v>
      </c>
      <c r="EX31">
        <v>0.01</v>
      </c>
      <c r="EY31">
        <v>0</v>
      </c>
      <c r="FQ31">
        <v>0</v>
      </c>
      <c r="FR31">
        <f t="shared" si="48"/>
        <v>0</v>
      </c>
      <c r="FS31">
        <v>0</v>
      </c>
      <c r="FX31">
        <v>85</v>
      </c>
      <c r="FY31">
        <v>65</v>
      </c>
      <c r="GA31" t="s">
        <v>6</v>
      </c>
      <c r="GD31">
        <v>0</v>
      </c>
      <c r="GF31">
        <v>994189354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9"/>
        <v>0</v>
      </c>
      <c r="GM31">
        <f t="shared" si="50"/>
        <v>1454.51</v>
      </c>
      <c r="GN31">
        <f t="shared" si="51"/>
        <v>1454.51</v>
      </c>
      <c r="GO31">
        <f t="shared" si="52"/>
        <v>0</v>
      </c>
      <c r="GP31">
        <f t="shared" si="53"/>
        <v>0</v>
      </c>
      <c r="GR31">
        <v>0</v>
      </c>
      <c r="GS31">
        <v>3</v>
      </c>
      <c r="GT31">
        <v>0</v>
      </c>
      <c r="GU31" t="s">
        <v>6</v>
      </c>
      <c r="GV31">
        <f t="shared" si="54"/>
        <v>0</v>
      </c>
      <c r="GW31">
        <v>1</v>
      </c>
      <c r="GX31">
        <f t="shared" si="55"/>
        <v>0</v>
      </c>
      <c r="HA31">
        <v>0</v>
      </c>
      <c r="HB31">
        <v>0</v>
      </c>
      <c r="HC31">
        <f t="shared" si="56"/>
        <v>0</v>
      </c>
      <c r="IK31">
        <v>0</v>
      </c>
    </row>
    <row r="32" spans="1:245" x14ac:dyDescent="0.2">
      <c r="A32">
        <v>17</v>
      </c>
      <c r="B32">
        <v>1</v>
      </c>
      <c r="C32">
        <f>ROW(SmtRes!A18)</f>
        <v>18</v>
      </c>
      <c r="D32">
        <f>ROW(EtalonRes!A18)</f>
        <v>18</v>
      </c>
      <c r="E32" t="s">
        <v>42</v>
      </c>
      <c r="F32" t="s">
        <v>43</v>
      </c>
      <c r="G32" t="s">
        <v>44</v>
      </c>
      <c r="H32" t="s">
        <v>45</v>
      </c>
      <c r="I32">
        <v>2</v>
      </c>
      <c r="J32">
        <v>0</v>
      </c>
      <c r="O32">
        <f t="shared" si="21"/>
        <v>109.64</v>
      </c>
      <c r="P32">
        <f t="shared" si="22"/>
        <v>0</v>
      </c>
      <c r="Q32">
        <f t="shared" si="23"/>
        <v>71.53</v>
      </c>
      <c r="R32">
        <f t="shared" si="24"/>
        <v>10.07</v>
      </c>
      <c r="S32">
        <f t="shared" si="25"/>
        <v>38.11</v>
      </c>
      <c r="T32">
        <f t="shared" si="26"/>
        <v>0</v>
      </c>
      <c r="U32">
        <f t="shared" si="27"/>
        <v>0.54</v>
      </c>
      <c r="V32">
        <f t="shared" si="28"/>
        <v>0.12</v>
      </c>
      <c r="W32">
        <f t="shared" si="29"/>
        <v>0</v>
      </c>
      <c r="X32">
        <f t="shared" si="30"/>
        <v>45.77</v>
      </c>
      <c r="Y32">
        <f t="shared" si="31"/>
        <v>31.32</v>
      </c>
      <c r="AA32">
        <v>16808636</v>
      </c>
      <c r="AB32">
        <f t="shared" si="32"/>
        <v>8.17</v>
      </c>
      <c r="AC32">
        <f>ROUND(((ES32*0)),2)</f>
        <v>0</v>
      </c>
      <c r="AD32">
        <f>ROUND(((((ET32*0.3))-((EU32*0.3)))+AE32),2)</f>
        <v>5.33</v>
      </c>
      <c r="AE32">
        <f t="shared" ref="AE32:AF34" si="57">ROUND(((EU32*0.3)),2)</f>
        <v>0.75</v>
      </c>
      <c r="AF32">
        <f t="shared" si="57"/>
        <v>2.84</v>
      </c>
      <c r="AG32">
        <f t="shared" si="34"/>
        <v>0</v>
      </c>
      <c r="AH32">
        <f t="shared" ref="AH32:AI34" si="58">((EW32*0.3))</f>
        <v>0.27</v>
      </c>
      <c r="AI32">
        <f t="shared" si="58"/>
        <v>0.06</v>
      </c>
      <c r="AJ32">
        <f t="shared" si="36"/>
        <v>0</v>
      </c>
      <c r="AK32">
        <v>33.42</v>
      </c>
      <c r="AL32">
        <v>6.2</v>
      </c>
      <c r="AM32">
        <v>17.77</v>
      </c>
      <c r="AN32">
        <v>2.5099999999999998</v>
      </c>
      <c r="AO32">
        <v>9.4499999999999993</v>
      </c>
      <c r="AP32">
        <v>0</v>
      </c>
      <c r="AQ32">
        <v>0.9</v>
      </c>
      <c r="AR32">
        <v>0.2</v>
      </c>
      <c r="AS32">
        <v>0</v>
      </c>
      <c r="AT32">
        <v>95</v>
      </c>
      <c r="AU32">
        <v>65</v>
      </c>
      <c r="AV32">
        <v>1</v>
      </c>
      <c r="AW32">
        <v>1</v>
      </c>
      <c r="AZ32">
        <v>6.71</v>
      </c>
      <c r="BA32">
        <v>6.71</v>
      </c>
      <c r="BB32">
        <v>6.71</v>
      </c>
      <c r="BC32">
        <v>6.71</v>
      </c>
      <c r="BD32" t="s">
        <v>6</v>
      </c>
      <c r="BE32" t="s">
        <v>6</v>
      </c>
      <c r="BF32" t="s">
        <v>6</v>
      </c>
      <c r="BG32" t="s">
        <v>6</v>
      </c>
      <c r="BH32">
        <v>0</v>
      </c>
      <c r="BI32">
        <v>2</v>
      </c>
      <c r="BJ32" t="s">
        <v>46</v>
      </c>
      <c r="BM32">
        <v>108001</v>
      </c>
      <c r="BN32">
        <v>0</v>
      </c>
      <c r="BO32" t="s">
        <v>6</v>
      </c>
      <c r="BP32">
        <v>0</v>
      </c>
      <c r="BQ32">
        <v>3</v>
      </c>
      <c r="BR32">
        <v>0</v>
      </c>
      <c r="BS32">
        <v>6.71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6</v>
      </c>
      <c r="BZ32">
        <v>95</v>
      </c>
      <c r="CA32">
        <v>65</v>
      </c>
      <c r="CE32">
        <v>0</v>
      </c>
      <c r="CF32">
        <v>0</v>
      </c>
      <c r="CG32">
        <v>0</v>
      </c>
      <c r="CM32">
        <v>0</v>
      </c>
      <c r="CN32" t="s">
        <v>47</v>
      </c>
      <c r="CO32">
        <v>0</v>
      </c>
      <c r="CP32">
        <f t="shared" si="37"/>
        <v>109.64</v>
      </c>
      <c r="CQ32">
        <f t="shared" si="38"/>
        <v>0</v>
      </c>
      <c r="CR32">
        <f t="shared" si="39"/>
        <v>35.764299999999999</v>
      </c>
      <c r="CS32">
        <f t="shared" si="40"/>
        <v>5.0324999999999998</v>
      </c>
      <c r="CT32">
        <f t="shared" si="41"/>
        <v>19.0564</v>
      </c>
      <c r="CU32">
        <f t="shared" si="42"/>
        <v>0</v>
      </c>
      <c r="CV32">
        <f t="shared" si="43"/>
        <v>0.27</v>
      </c>
      <c r="CW32">
        <f t="shared" si="44"/>
        <v>0.06</v>
      </c>
      <c r="CX32">
        <f t="shared" si="45"/>
        <v>0</v>
      </c>
      <c r="CY32">
        <f t="shared" si="46"/>
        <v>45.771000000000001</v>
      </c>
      <c r="CZ32">
        <f t="shared" si="47"/>
        <v>31.316999999999997</v>
      </c>
      <c r="DC32" t="s">
        <v>6</v>
      </c>
      <c r="DD32" t="s">
        <v>48</v>
      </c>
      <c r="DE32" t="s">
        <v>49</v>
      </c>
      <c r="DF32" t="s">
        <v>49</v>
      </c>
      <c r="DG32" t="s">
        <v>49</v>
      </c>
      <c r="DH32" t="s">
        <v>6</v>
      </c>
      <c r="DI32" t="s">
        <v>49</v>
      </c>
      <c r="DJ32" t="s">
        <v>49</v>
      </c>
      <c r="DK32" t="s">
        <v>6</v>
      </c>
      <c r="DL32" t="s">
        <v>6</v>
      </c>
      <c r="DM32" t="s">
        <v>6</v>
      </c>
      <c r="DN32">
        <v>0</v>
      </c>
      <c r="DO32">
        <v>0</v>
      </c>
      <c r="DP32">
        <v>1</v>
      </c>
      <c r="DQ32">
        <v>1</v>
      </c>
      <c r="DU32">
        <v>1013</v>
      </c>
      <c r="DV32" t="s">
        <v>45</v>
      </c>
      <c r="DW32" t="s">
        <v>45</v>
      </c>
      <c r="DX32">
        <v>1</v>
      </c>
      <c r="EE32">
        <v>16510370</v>
      </c>
      <c r="EF32">
        <v>3</v>
      </c>
      <c r="EG32" t="s">
        <v>50</v>
      </c>
      <c r="EH32">
        <v>0</v>
      </c>
      <c r="EI32" t="s">
        <v>6</v>
      </c>
      <c r="EJ32">
        <v>2</v>
      </c>
      <c r="EK32">
        <v>108001</v>
      </c>
      <c r="EL32" t="s">
        <v>51</v>
      </c>
      <c r="EM32" t="s">
        <v>52</v>
      </c>
      <c r="EO32" t="s">
        <v>53</v>
      </c>
      <c r="EQ32">
        <v>0</v>
      </c>
      <c r="ER32">
        <v>33.42</v>
      </c>
      <c r="ES32">
        <v>6.2</v>
      </c>
      <c r="ET32">
        <v>17.77</v>
      </c>
      <c r="EU32">
        <v>2.5099999999999998</v>
      </c>
      <c r="EV32">
        <v>9.4499999999999993</v>
      </c>
      <c r="EW32">
        <v>0.9</v>
      </c>
      <c r="EX32">
        <v>0.2</v>
      </c>
      <c r="EY32">
        <v>0</v>
      </c>
      <c r="FQ32">
        <v>0</v>
      </c>
      <c r="FR32">
        <f t="shared" si="48"/>
        <v>0</v>
      </c>
      <c r="FS32">
        <v>0</v>
      </c>
      <c r="FX32">
        <v>95</v>
      </c>
      <c r="FY32">
        <v>65</v>
      </c>
      <c r="GA32" t="s">
        <v>6</v>
      </c>
      <c r="GD32">
        <v>0</v>
      </c>
      <c r="GF32">
        <v>-906572006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9"/>
        <v>0</v>
      </c>
      <c r="GM32">
        <f t="shared" si="50"/>
        <v>186.73</v>
      </c>
      <c r="GN32">
        <f t="shared" si="51"/>
        <v>0</v>
      </c>
      <c r="GO32">
        <f t="shared" si="52"/>
        <v>186.73</v>
      </c>
      <c r="GP32">
        <f t="shared" si="53"/>
        <v>0</v>
      </c>
      <c r="GR32">
        <v>0</v>
      </c>
      <c r="GS32">
        <v>3</v>
      </c>
      <c r="GT32">
        <v>0</v>
      </c>
      <c r="GU32" t="s">
        <v>6</v>
      </c>
      <c r="GV32">
        <f t="shared" si="54"/>
        <v>0</v>
      </c>
      <c r="GW32">
        <v>1</v>
      </c>
      <c r="GX32">
        <f t="shared" si="55"/>
        <v>0</v>
      </c>
      <c r="HA32">
        <v>0</v>
      </c>
      <c r="HB32">
        <v>0</v>
      </c>
      <c r="HC32">
        <f t="shared" si="56"/>
        <v>0</v>
      </c>
      <c r="IK32">
        <v>0</v>
      </c>
    </row>
    <row r="33" spans="1:245" x14ac:dyDescent="0.2">
      <c r="A33">
        <v>17</v>
      </c>
      <c r="B33">
        <v>1</v>
      </c>
      <c r="C33">
        <f>ROW(SmtRes!A24)</f>
        <v>24</v>
      </c>
      <c r="D33">
        <f>ROW(EtalonRes!A24)</f>
        <v>24</v>
      </c>
      <c r="E33" t="s">
        <v>54</v>
      </c>
      <c r="F33" t="s">
        <v>55</v>
      </c>
      <c r="G33" t="s">
        <v>56</v>
      </c>
      <c r="H33" t="s">
        <v>40</v>
      </c>
      <c r="I33">
        <f>ROUND(115/100,9)</f>
        <v>1.1499999999999999</v>
      </c>
      <c r="J33">
        <v>0</v>
      </c>
      <c r="O33">
        <f t="shared" si="21"/>
        <v>359.35</v>
      </c>
      <c r="P33">
        <f t="shared" si="22"/>
        <v>0</v>
      </c>
      <c r="Q33">
        <f t="shared" si="23"/>
        <v>0.69</v>
      </c>
      <c r="R33">
        <f t="shared" si="24"/>
        <v>0.31</v>
      </c>
      <c r="S33">
        <f t="shared" si="25"/>
        <v>358.66</v>
      </c>
      <c r="T33">
        <f t="shared" si="26"/>
        <v>0</v>
      </c>
      <c r="U33">
        <f t="shared" si="27"/>
        <v>5.6200499999999991</v>
      </c>
      <c r="V33">
        <f t="shared" si="28"/>
        <v>3.4499999999999999E-3</v>
      </c>
      <c r="W33">
        <f t="shared" si="29"/>
        <v>0</v>
      </c>
      <c r="X33">
        <f t="shared" si="30"/>
        <v>341.02</v>
      </c>
      <c r="Y33">
        <f t="shared" si="31"/>
        <v>233.33</v>
      </c>
      <c r="AA33">
        <v>16808636</v>
      </c>
      <c r="AB33">
        <f t="shared" si="32"/>
        <v>46.57</v>
      </c>
      <c r="AC33">
        <f>ROUND(((ES33*0)),2)</f>
        <v>0</v>
      </c>
      <c r="AD33">
        <f>ROUND(((((ET33*0.3))-((EU33*0.3)))+AE33),2)</f>
        <v>0.09</v>
      </c>
      <c r="AE33">
        <f t="shared" si="57"/>
        <v>0.04</v>
      </c>
      <c r="AF33">
        <f t="shared" si="57"/>
        <v>46.48</v>
      </c>
      <c r="AG33">
        <f t="shared" si="34"/>
        <v>0</v>
      </c>
      <c r="AH33">
        <f t="shared" si="58"/>
        <v>4.8869999999999996</v>
      </c>
      <c r="AI33">
        <f t="shared" si="58"/>
        <v>3.0000000000000001E-3</v>
      </c>
      <c r="AJ33">
        <f t="shared" si="36"/>
        <v>0</v>
      </c>
      <c r="AK33">
        <v>206.76</v>
      </c>
      <c r="AL33">
        <v>51.53</v>
      </c>
      <c r="AM33">
        <v>0.31</v>
      </c>
      <c r="AN33">
        <v>0.14000000000000001</v>
      </c>
      <c r="AO33">
        <v>154.91999999999999</v>
      </c>
      <c r="AP33">
        <v>0</v>
      </c>
      <c r="AQ33">
        <v>16.29</v>
      </c>
      <c r="AR33">
        <v>0.01</v>
      </c>
      <c r="AS33">
        <v>0</v>
      </c>
      <c r="AT33">
        <v>95</v>
      </c>
      <c r="AU33">
        <v>65</v>
      </c>
      <c r="AV33">
        <v>1</v>
      </c>
      <c r="AW33">
        <v>1</v>
      </c>
      <c r="AZ33">
        <v>6.71</v>
      </c>
      <c r="BA33">
        <v>6.71</v>
      </c>
      <c r="BB33">
        <v>6.71</v>
      </c>
      <c r="BC33">
        <v>6.71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2</v>
      </c>
      <c r="BJ33" t="s">
        <v>57</v>
      </c>
      <c r="BM33">
        <v>108001</v>
      </c>
      <c r="BN33">
        <v>0</v>
      </c>
      <c r="BO33" t="s">
        <v>6</v>
      </c>
      <c r="BP33">
        <v>0</v>
      </c>
      <c r="BQ33">
        <v>3</v>
      </c>
      <c r="BR33">
        <v>0</v>
      </c>
      <c r="BS33">
        <v>6.71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95</v>
      </c>
      <c r="CA33">
        <v>65</v>
      </c>
      <c r="CE33">
        <v>0</v>
      </c>
      <c r="CF33">
        <v>0</v>
      </c>
      <c r="CG33">
        <v>0</v>
      </c>
      <c r="CM33">
        <v>0</v>
      </c>
      <c r="CN33" t="s">
        <v>47</v>
      </c>
      <c r="CO33">
        <v>0</v>
      </c>
      <c r="CP33">
        <f t="shared" si="37"/>
        <v>359.35</v>
      </c>
      <c r="CQ33">
        <f t="shared" si="38"/>
        <v>0</v>
      </c>
      <c r="CR33">
        <f t="shared" si="39"/>
        <v>0.60389999999999999</v>
      </c>
      <c r="CS33">
        <f t="shared" si="40"/>
        <v>0.26840000000000003</v>
      </c>
      <c r="CT33">
        <f t="shared" si="41"/>
        <v>311.88079999999997</v>
      </c>
      <c r="CU33">
        <f t="shared" si="42"/>
        <v>0</v>
      </c>
      <c r="CV33">
        <f t="shared" si="43"/>
        <v>4.8869999999999996</v>
      </c>
      <c r="CW33">
        <f t="shared" si="44"/>
        <v>3.0000000000000001E-3</v>
      </c>
      <c r="CX33">
        <f t="shared" si="45"/>
        <v>0</v>
      </c>
      <c r="CY33">
        <f t="shared" si="46"/>
        <v>341.0215</v>
      </c>
      <c r="CZ33">
        <f t="shared" si="47"/>
        <v>233.33050000000003</v>
      </c>
      <c r="DC33" t="s">
        <v>6</v>
      </c>
      <c r="DD33" t="s">
        <v>48</v>
      </c>
      <c r="DE33" t="s">
        <v>49</v>
      </c>
      <c r="DF33" t="s">
        <v>49</v>
      </c>
      <c r="DG33" t="s">
        <v>49</v>
      </c>
      <c r="DH33" t="s">
        <v>6</v>
      </c>
      <c r="DI33" t="s">
        <v>49</v>
      </c>
      <c r="DJ33" t="s">
        <v>49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40</v>
      </c>
      <c r="DW33" t="s">
        <v>40</v>
      </c>
      <c r="DX33">
        <v>100</v>
      </c>
      <c r="EE33">
        <v>16510370</v>
      </c>
      <c r="EF33">
        <v>3</v>
      </c>
      <c r="EG33" t="s">
        <v>50</v>
      </c>
      <c r="EH33">
        <v>0</v>
      </c>
      <c r="EI33" t="s">
        <v>6</v>
      </c>
      <c r="EJ33">
        <v>2</v>
      </c>
      <c r="EK33">
        <v>108001</v>
      </c>
      <c r="EL33" t="s">
        <v>51</v>
      </c>
      <c r="EM33" t="s">
        <v>52</v>
      </c>
      <c r="EO33" t="s">
        <v>53</v>
      </c>
      <c r="EQ33">
        <v>0</v>
      </c>
      <c r="ER33">
        <v>206.76</v>
      </c>
      <c r="ES33">
        <v>51.53</v>
      </c>
      <c r="ET33">
        <v>0.31</v>
      </c>
      <c r="EU33">
        <v>0.14000000000000001</v>
      </c>
      <c r="EV33">
        <v>154.91999999999999</v>
      </c>
      <c r="EW33">
        <v>16.29</v>
      </c>
      <c r="EX33">
        <v>0.01</v>
      </c>
      <c r="EY33">
        <v>0</v>
      </c>
      <c r="FQ33">
        <v>0</v>
      </c>
      <c r="FR33">
        <f t="shared" si="48"/>
        <v>0</v>
      </c>
      <c r="FS33">
        <v>0</v>
      </c>
      <c r="FX33">
        <v>95</v>
      </c>
      <c r="FY33">
        <v>65</v>
      </c>
      <c r="GA33" t="s">
        <v>6</v>
      </c>
      <c r="GD33">
        <v>0</v>
      </c>
      <c r="GF33">
        <v>-1862294278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9"/>
        <v>0</v>
      </c>
      <c r="GM33">
        <f t="shared" si="50"/>
        <v>933.7</v>
      </c>
      <c r="GN33">
        <f t="shared" si="51"/>
        <v>0</v>
      </c>
      <c r="GO33">
        <f t="shared" si="52"/>
        <v>933.7</v>
      </c>
      <c r="GP33">
        <f t="shared" si="53"/>
        <v>0</v>
      </c>
      <c r="GR33">
        <v>0</v>
      </c>
      <c r="GS33">
        <v>3</v>
      </c>
      <c r="GT33">
        <v>0</v>
      </c>
      <c r="GU33" t="s">
        <v>6</v>
      </c>
      <c r="GV33">
        <f t="shared" si="54"/>
        <v>0</v>
      </c>
      <c r="GW33">
        <v>1</v>
      </c>
      <c r="GX33">
        <f t="shared" si="55"/>
        <v>0</v>
      </c>
      <c r="HA33">
        <v>0</v>
      </c>
      <c r="HB33">
        <v>0</v>
      </c>
      <c r="HC33">
        <f t="shared" si="56"/>
        <v>0</v>
      </c>
      <c r="IK33">
        <v>0</v>
      </c>
    </row>
    <row r="34" spans="1:245" x14ac:dyDescent="0.2">
      <c r="A34">
        <v>17</v>
      </c>
      <c r="B34">
        <v>1</v>
      </c>
      <c r="C34">
        <f>ROW(SmtRes!A31)</f>
        <v>31</v>
      </c>
      <c r="D34">
        <f>ROW(EtalonRes!A31)</f>
        <v>31</v>
      </c>
      <c r="E34" t="s">
        <v>58</v>
      </c>
      <c r="F34" t="s">
        <v>59</v>
      </c>
      <c r="G34" t="s">
        <v>60</v>
      </c>
      <c r="H34" t="s">
        <v>45</v>
      </c>
      <c r="I34">
        <v>21</v>
      </c>
      <c r="J34">
        <v>0</v>
      </c>
      <c r="O34">
        <f t="shared" si="21"/>
        <v>341</v>
      </c>
      <c r="P34">
        <f t="shared" si="22"/>
        <v>0</v>
      </c>
      <c r="Q34">
        <f t="shared" si="23"/>
        <v>0</v>
      </c>
      <c r="R34">
        <f t="shared" si="24"/>
        <v>0</v>
      </c>
      <c r="S34">
        <f t="shared" si="25"/>
        <v>341</v>
      </c>
      <c r="T34">
        <f t="shared" si="26"/>
        <v>0</v>
      </c>
      <c r="U34">
        <f t="shared" si="27"/>
        <v>5.2919999999999998</v>
      </c>
      <c r="V34">
        <f t="shared" si="28"/>
        <v>0</v>
      </c>
      <c r="W34">
        <f t="shared" si="29"/>
        <v>0</v>
      </c>
      <c r="X34">
        <f t="shared" si="30"/>
        <v>272.8</v>
      </c>
      <c r="Y34">
        <f t="shared" si="31"/>
        <v>204.6</v>
      </c>
      <c r="AA34">
        <v>16808636</v>
      </c>
      <c r="AB34">
        <f t="shared" si="32"/>
        <v>2.42</v>
      </c>
      <c r="AC34">
        <f>ROUND(((ES34*0)),2)</f>
        <v>0</v>
      </c>
      <c r="AD34">
        <f>ROUND(((((ET34*0.3))-((EU34*0.3)))+AE34),2)</f>
        <v>0</v>
      </c>
      <c r="AE34">
        <f t="shared" si="57"/>
        <v>0</v>
      </c>
      <c r="AF34">
        <f t="shared" si="57"/>
        <v>2.42</v>
      </c>
      <c r="AG34">
        <f t="shared" si="34"/>
        <v>0</v>
      </c>
      <c r="AH34">
        <f t="shared" si="58"/>
        <v>0.252</v>
      </c>
      <c r="AI34">
        <f t="shared" si="58"/>
        <v>0</v>
      </c>
      <c r="AJ34">
        <f t="shared" si="36"/>
        <v>0</v>
      </c>
      <c r="AK34">
        <v>9.36</v>
      </c>
      <c r="AL34">
        <v>1.28</v>
      </c>
      <c r="AM34">
        <v>0</v>
      </c>
      <c r="AN34">
        <v>0</v>
      </c>
      <c r="AO34">
        <v>8.08</v>
      </c>
      <c r="AP34">
        <v>0</v>
      </c>
      <c r="AQ34">
        <v>0.84</v>
      </c>
      <c r="AR34">
        <v>0</v>
      </c>
      <c r="AS34">
        <v>0</v>
      </c>
      <c r="AT34">
        <v>80</v>
      </c>
      <c r="AU34">
        <v>60</v>
      </c>
      <c r="AV34">
        <v>1</v>
      </c>
      <c r="AW34">
        <v>1</v>
      </c>
      <c r="AZ34">
        <v>6.71</v>
      </c>
      <c r="BA34">
        <v>6.71</v>
      </c>
      <c r="BB34">
        <v>6.71</v>
      </c>
      <c r="BC34">
        <v>6.71</v>
      </c>
      <c r="BD34" t="s">
        <v>6</v>
      </c>
      <c r="BE34" t="s">
        <v>6</v>
      </c>
      <c r="BF34" t="s">
        <v>6</v>
      </c>
      <c r="BG34" t="s">
        <v>6</v>
      </c>
      <c r="BH34">
        <v>0</v>
      </c>
      <c r="BI34">
        <v>2</v>
      </c>
      <c r="BJ34" t="s">
        <v>61</v>
      </c>
      <c r="BM34">
        <v>110011</v>
      </c>
      <c r="BN34">
        <v>0</v>
      </c>
      <c r="BO34" t="s">
        <v>6</v>
      </c>
      <c r="BP34">
        <v>0</v>
      </c>
      <c r="BQ34">
        <v>3</v>
      </c>
      <c r="BR34">
        <v>0</v>
      </c>
      <c r="BS34">
        <v>6.71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6</v>
      </c>
      <c r="BZ34">
        <v>80</v>
      </c>
      <c r="CA34">
        <v>60</v>
      </c>
      <c r="CE34">
        <v>0</v>
      </c>
      <c r="CF34">
        <v>0</v>
      </c>
      <c r="CG34">
        <v>0</v>
      </c>
      <c r="CM34">
        <v>0</v>
      </c>
      <c r="CN34" t="s">
        <v>47</v>
      </c>
      <c r="CO34">
        <v>0</v>
      </c>
      <c r="CP34">
        <f t="shared" si="37"/>
        <v>341</v>
      </c>
      <c r="CQ34">
        <f t="shared" si="38"/>
        <v>0</v>
      </c>
      <c r="CR34">
        <f t="shared" si="39"/>
        <v>0</v>
      </c>
      <c r="CS34">
        <f t="shared" si="40"/>
        <v>0</v>
      </c>
      <c r="CT34">
        <f t="shared" si="41"/>
        <v>16.238199999999999</v>
      </c>
      <c r="CU34">
        <f t="shared" si="42"/>
        <v>0</v>
      </c>
      <c r="CV34">
        <f t="shared" si="43"/>
        <v>0.252</v>
      </c>
      <c r="CW34">
        <f t="shared" si="44"/>
        <v>0</v>
      </c>
      <c r="CX34">
        <f t="shared" si="45"/>
        <v>0</v>
      </c>
      <c r="CY34">
        <f t="shared" si="46"/>
        <v>272.8</v>
      </c>
      <c r="CZ34">
        <f t="shared" si="47"/>
        <v>204.6</v>
      </c>
      <c r="DC34" t="s">
        <v>6</v>
      </c>
      <c r="DD34" t="s">
        <v>48</v>
      </c>
      <c r="DE34" t="s">
        <v>49</v>
      </c>
      <c r="DF34" t="s">
        <v>49</v>
      </c>
      <c r="DG34" t="s">
        <v>49</v>
      </c>
      <c r="DH34" t="s">
        <v>6</v>
      </c>
      <c r="DI34" t="s">
        <v>49</v>
      </c>
      <c r="DJ34" t="s">
        <v>49</v>
      </c>
      <c r="DK34" t="s">
        <v>6</v>
      </c>
      <c r="DL34" t="s">
        <v>6</v>
      </c>
      <c r="DM34" t="s">
        <v>6</v>
      </c>
      <c r="DN34">
        <v>0</v>
      </c>
      <c r="DO34">
        <v>0</v>
      </c>
      <c r="DP34">
        <v>1</v>
      </c>
      <c r="DQ34">
        <v>1</v>
      </c>
      <c r="DU34">
        <v>1013</v>
      </c>
      <c r="DV34" t="s">
        <v>45</v>
      </c>
      <c r="DW34" t="s">
        <v>45</v>
      </c>
      <c r="DX34">
        <v>1</v>
      </c>
      <c r="EE34">
        <v>16510417</v>
      </c>
      <c r="EF34">
        <v>3</v>
      </c>
      <c r="EG34" t="s">
        <v>50</v>
      </c>
      <c r="EH34">
        <v>0</v>
      </c>
      <c r="EI34" t="s">
        <v>6</v>
      </c>
      <c r="EJ34">
        <v>2</v>
      </c>
      <c r="EK34">
        <v>110011</v>
      </c>
      <c r="EL34" t="s">
        <v>62</v>
      </c>
      <c r="EM34" t="s">
        <v>63</v>
      </c>
      <c r="EO34" t="s">
        <v>53</v>
      </c>
      <c r="EQ34">
        <v>0</v>
      </c>
      <c r="ER34">
        <v>9.36</v>
      </c>
      <c r="ES34">
        <v>1.28</v>
      </c>
      <c r="ET34">
        <v>0</v>
      </c>
      <c r="EU34">
        <v>0</v>
      </c>
      <c r="EV34">
        <v>8.08</v>
      </c>
      <c r="EW34">
        <v>0.84</v>
      </c>
      <c r="EX34">
        <v>0</v>
      </c>
      <c r="EY34">
        <v>0</v>
      </c>
      <c r="FQ34">
        <v>0</v>
      </c>
      <c r="FR34">
        <f t="shared" si="48"/>
        <v>0</v>
      </c>
      <c r="FS34">
        <v>0</v>
      </c>
      <c r="FX34">
        <v>80</v>
      </c>
      <c r="FY34">
        <v>60</v>
      </c>
      <c r="GA34" t="s">
        <v>6</v>
      </c>
      <c r="GD34">
        <v>0</v>
      </c>
      <c r="GF34">
        <v>-2034624208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9"/>
        <v>0</v>
      </c>
      <c r="GM34">
        <f t="shared" si="50"/>
        <v>818.4</v>
      </c>
      <c r="GN34">
        <f t="shared" si="51"/>
        <v>0</v>
      </c>
      <c r="GO34">
        <f t="shared" si="52"/>
        <v>818.4</v>
      </c>
      <c r="GP34">
        <f t="shared" si="53"/>
        <v>0</v>
      </c>
      <c r="GR34">
        <v>0</v>
      </c>
      <c r="GS34">
        <v>3</v>
      </c>
      <c r="GT34">
        <v>0</v>
      </c>
      <c r="GU34" t="s">
        <v>6</v>
      </c>
      <c r="GV34">
        <f t="shared" si="54"/>
        <v>0</v>
      </c>
      <c r="GW34">
        <v>1</v>
      </c>
      <c r="GX34">
        <f t="shared" si="55"/>
        <v>0</v>
      </c>
      <c r="HA34">
        <v>0</v>
      </c>
      <c r="HB34">
        <v>0</v>
      </c>
      <c r="HC34">
        <f t="shared" si="56"/>
        <v>0</v>
      </c>
      <c r="IK34">
        <v>0</v>
      </c>
    </row>
    <row r="35" spans="1:245" x14ac:dyDescent="0.2">
      <c r="A35">
        <v>17</v>
      </c>
      <c r="B35">
        <v>1</v>
      </c>
      <c r="C35">
        <f>ROW(SmtRes!A36)</f>
        <v>36</v>
      </c>
      <c r="D35">
        <f>ROW(EtalonRes!A36)</f>
        <v>36</v>
      </c>
      <c r="E35" t="s">
        <v>64</v>
      </c>
      <c r="F35" t="s">
        <v>65</v>
      </c>
      <c r="G35" t="s">
        <v>66</v>
      </c>
      <c r="H35" t="s">
        <v>45</v>
      </c>
      <c r="I35">
        <v>6</v>
      </c>
      <c r="J35">
        <v>0</v>
      </c>
      <c r="O35">
        <f t="shared" si="21"/>
        <v>438.03</v>
      </c>
      <c r="P35">
        <f t="shared" si="22"/>
        <v>0</v>
      </c>
      <c r="Q35">
        <f t="shared" si="23"/>
        <v>0</v>
      </c>
      <c r="R35">
        <f t="shared" si="24"/>
        <v>0</v>
      </c>
      <c r="S35">
        <f t="shared" si="25"/>
        <v>438.03</v>
      </c>
      <c r="T35">
        <f t="shared" si="26"/>
        <v>0</v>
      </c>
      <c r="U35">
        <f t="shared" si="27"/>
        <v>7.1999999999999993</v>
      </c>
      <c r="V35">
        <f t="shared" si="28"/>
        <v>0</v>
      </c>
      <c r="W35">
        <f t="shared" si="29"/>
        <v>0</v>
      </c>
      <c r="X35">
        <f t="shared" si="30"/>
        <v>402.99</v>
      </c>
      <c r="Y35">
        <f t="shared" si="31"/>
        <v>284.72000000000003</v>
      </c>
      <c r="AA35">
        <v>16808636</v>
      </c>
      <c r="AB35">
        <f t="shared" si="32"/>
        <v>10.88</v>
      </c>
      <c r="AC35">
        <f>ROUND(((ES35*0)),2)</f>
        <v>0</v>
      </c>
      <c r="AD35">
        <f>ROUND(((((ET35*0.6))-((EU35*0.6)))+AE35),2)</f>
        <v>0</v>
      </c>
      <c r="AE35">
        <f>ROUND(((EU35*0.6)),2)</f>
        <v>0</v>
      </c>
      <c r="AF35">
        <f>ROUND(((EV35*0.6)),2)</f>
        <v>10.88</v>
      </c>
      <c r="AG35">
        <f t="shared" si="34"/>
        <v>0</v>
      </c>
      <c r="AH35">
        <f>((EW35*0.6))</f>
        <v>1.2</v>
      </c>
      <c r="AI35">
        <f>((EX35*0.6))</f>
        <v>0</v>
      </c>
      <c r="AJ35">
        <f t="shared" si="36"/>
        <v>0</v>
      </c>
      <c r="AK35">
        <v>30.77</v>
      </c>
      <c r="AL35">
        <v>12.63</v>
      </c>
      <c r="AM35">
        <v>0</v>
      </c>
      <c r="AN35">
        <v>0</v>
      </c>
      <c r="AO35">
        <v>18.14</v>
      </c>
      <c r="AP35">
        <v>0</v>
      </c>
      <c r="AQ35">
        <v>2</v>
      </c>
      <c r="AR35">
        <v>0</v>
      </c>
      <c r="AS35">
        <v>0</v>
      </c>
      <c r="AT35">
        <v>92</v>
      </c>
      <c r="AU35">
        <v>65</v>
      </c>
      <c r="AV35">
        <v>1</v>
      </c>
      <c r="AW35">
        <v>1</v>
      </c>
      <c r="AZ35">
        <v>6.71</v>
      </c>
      <c r="BA35">
        <v>6.71</v>
      </c>
      <c r="BB35">
        <v>6.71</v>
      </c>
      <c r="BC35">
        <v>6.71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2</v>
      </c>
      <c r="BJ35" t="s">
        <v>67</v>
      </c>
      <c r="BM35">
        <v>110004</v>
      </c>
      <c r="BN35">
        <v>0</v>
      </c>
      <c r="BO35" t="s">
        <v>6</v>
      </c>
      <c r="BP35">
        <v>0</v>
      </c>
      <c r="BQ35">
        <v>3</v>
      </c>
      <c r="BR35">
        <v>0</v>
      </c>
      <c r="BS35">
        <v>6.71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92</v>
      </c>
      <c r="CA35">
        <v>65</v>
      </c>
      <c r="CE35">
        <v>0</v>
      </c>
      <c r="CF35">
        <v>0</v>
      </c>
      <c r="CG35">
        <v>0</v>
      </c>
      <c r="CM35">
        <v>0</v>
      </c>
      <c r="CN35" t="s">
        <v>1056</v>
      </c>
      <c r="CO35">
        <v>0</v>
      </c>
      <c r="CP35">
        <f t="shared" si="37"/>
        <v>438.03</v>
      </c>
      <c r="CQ35">
        <f t="shared" si="38"/>
        <v>0</v>
      </c>
      <c r="CR35">
        <f t="shared" si="39"/>
        <v>0</v>
      </c>
      <c r="CS35">
        <f t="shared" si="40"/>
        <v>0</v>
      </c>
      <c r="CT35">
        <f t="shared" si="41"/>
        <v>73.004800000000003</v>
      </c>
      <c r="CU35">
        <f t="shared" si="42"/>
        <v>0</v>
      </c>
      <c r="CV35">
        <f t="shared" si="43"/>
        <v>1.2</v>
      </c>
      <c r="CW35">
        <f t="shared" si="44"/>
        <v>0</v>
      </c>
      <c r="CX35">
        <f t="shared" si="45"/>
        <v>0</v>
      </c>
      <c r="CY35">
        <f t="shared" si="46"/>
        <v>402.98759999999993</v>
      </c>
      <c r="CZ35">
        <f t="shared" si="47"/>
        <v>284.71949999999998</v>
      </c>
      <c r="DC35" t="s">
        <v>6</v>
      </c>
      <c r="DD35" t="s">
        <v>48</v>
      </c>
      <c r="DE35" t="s">
        <v>68</v>
      </c>
      <c r="DF35" t="s">
        <v>68</v>
      </c>
      <c r="DG35" t="s">
        <v>68</v>
      </c>
      <c r="DH35" t="s">
        <v>6</v>
      </c>
      <c r="DI35" t="s">
        <v>68</v>
      </c>
      <c r="DJ35" t="s">
        <v>68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1013</v>
      </c>
      <c r="DV35" t="s">
        <v>45</v>
      </c>
      <c r="DW35" t="s">
        <v>45</v>
      </c>
      <c r="DX35">
        <v>1</v>
      </c>
      <c r="EE35">
        <v>16510374</v>
      </c>
      <c r="EF35">
        <v>3</v>
      </c>
      <c r="EG35" t="s">
        <v>50</v>
      </c>
      <c r="EH35">
        <v>0</v>
      </c>
      <c r="EI35" t="s">
        <v>6</v>
      </c>
      <c r="EJ35">
        <v>2</v>
      </c>
      <c r="EK35">
        <v>110004</v>
      </c>
      <c r="EL35" t="s">
        <v>69</v>
      </c>
      <c r="EM35" t="s">
        <v>63</v>
      </c>
      <c r="EO35" t="s">
        <v>70</v>
      </c>
      <c r="EQ35">
        <v>0</v>
      </c>
      <c r="ER35">
        <v>30.77</v>
      </c>
      <c r="ES35">
        <v>12.63</v>
      </c>
      <c r="ET35">
        <v>0</v>
      </c>
      <c r="EU35">
        <v>0</v>
      </c>
      <c r="EV35">
        <v>18.14</v>
      </c>
      <c r="EW35">
        <v>2</v>
      </c>
      <c r="EX35">
        <v>0</v>
      </c>
      <c r="EY35">
        <v>0</v>
      </c>
      <c r="FQ35">
        <v>0</v>
      </c>
      <c r="FR35">
        <f t="shared" si="48"/>
        <v>0</v>
      </c>
      <c r="FS35">
        <v>0</v>
      </c>
      <c r="FX35">
        <v>92</v>
      </c>
      <c r="FY35">
        <v>65</v>
      </c>
      <c r="GA35" t="s">
        <v>6</v>
      </c>
      <c r="GD35">
        <v>0</v>
      </c>
      <c r="GF35">
        <v>-1597645418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9"/>
        <v>0</v>
      </c>
      <c r="GM35">
        <f t="shared" si="50"/>
        <v>1125.74</v>
      </c>
      <c r="GN35">
        <f t="shared" si="51"/>
        <v>0</v>
      </c>
      <c r="GO35">
        <f t="shared" si="52"/>
        <v>1125.74</v>
      </c>
      <c r="GP35">
        <f t="shared" si="53"/>
        <v>0</v>
      </c>
      <c r="GR35">
        <v>0</v>
      </c>
      <c r="GS35">
        <v>3</v>
      </c>
      <c r="GT35">
        <v>0</v>
      </c>
      <c r="GU35" t="s">
        <v>6</v>
      </c>
      <c r="GV35">
        <f t="shared" si="54"/>
        <v>0</v>
      </c>
      <c r="GW35">
        <v>1</v>
      </c>
      <c r="GX35">
        <f t="shared" si="55"/>
        <v>0</v>
      </c>
      <c r="HA35">
        <v>0</v>
      </c>
      <c r="HB35">
        <v>0</v>
      </c>
      <c r="HC35">
        <f t="shared" si="56"/>
        <v>0</v>
      </c>
      <c r="IK35">
        <v>0</v>
      </c>
    </row>
    <row r="36" spans="1:245" x14ac:dyDescent="0.2">
      <c r="A36">
        <v>17</v>
      </c>
      <c r="B36">
        <v>1</v>
      </c>
      <c r="C36">
        <f>ROW(SmtRes!A39)</f>
        <v>39</v>
      </c>
      <c r="D36">
        <f>ROW(EtalonRes!A40)</f>
        <v>40</v>
      </c>
      <c r="E36" t="s">
        <v>71</v>
      </c>
      <c r="F36" t="s">
        <v>72</v>
      </c>
      <c r="G36" t="s">
        <v>73</v>
      </c>
      <c r="H36" t="s">
        <v>18</v>
      </c>
      <c r="I36">
        <f>ROUND(150/100,9)</f>
        <v>1.5</v>
      </c>
      <c r="J36">
        <v>0</v>
      </c>
      <c r="O36">
        <f t="shared" si="21"/>
        <v>2827.05</v>
      </c>
      <c r="P36">
        <f t="shared" si="22"/>
        <v>0</v>
      </c>
      <c r="Q36">
        <f t="shared" si="23"/>
        <v>40.86</v>
      </c>
      <c r="R36">
        <f t="shared" si="24"/>
        <v>17.71</v>
      </c>
      <c r="S36">
        <f t="shared" si="25"/>
        <v>2786.19</v>
      </c>
      <c r="T36">
        <f t="shared" si="26"/>
        <v>0</v>
      </c>
      <c r="U36">
        <f t="shared" si="27"/>
        <v>53.234999999999999</v>
      </c>
      <c r="V36">
        <f t="shared" si="28"/>
        <v>0.19500000000000001</v>
      </c>
      <c r="W36">
        <f t="shared" si="29"/>
        <v>0</v>
      </c>
      <c r="X36">
        <f t="shared" si="30"/>
        <v>2243.12</v>
      </c>
      <c r="Y36">
        <f t="shared" si="31"/>
        <v>1906.65</v>
      </c>
      <c r="AA36">
        <v>16808636</v>
      </c>
      <c r="AB36">
        <f t="shared" si="32"/>
        <v>280.88</v>
      </c>
      <c r="AC36">
        <f>ROUND((ES36),2)</f>
        <v>0</v>
      </c>
      <c r="AD36">
        <f>ROUND((((ET36)-(EU36))+AE36),2)</f>
        <v>4.0599999999999996</v>
      </c>
      <c r="AE36">
        <f>ROUND((EU36),2)</f>
        <v>1.76</v>
      </c>
      <c r="AF36">
        <f>ROUND((EV36),2)</f>
        <v>276.82</v>
      </c>
      <c r="AG36">
        <f t="shared" si="34"/>
        <v>0</v>
      </c>
      <c r="AH36">
        <f>(EW36)</f>
        <v>35.49</v>
      </c>
      <c r="AI36">
        <f>(EX36)</f>
        <v>0.13</v>
      </c>
      <c r="AJ36">
        <f t="shared" si="36"/>
        <v>0</v>
      </c>
      <c r="AK36">
        <v>280.88</v>
      </c>
      <c r="AL36">
        <v>0</v>
      </c>
      <c r="AM36">
        <v>4.0599999999999996</v>
      </c>
      <c r="AN36">
        <v>1.76</v>
      </c>
      <c r="AO36">
        <v>276.82</v>
      </c>
      <c r="AP36">
        <v>0</v>
      </c>
      <c r="AQ36">
        <v>35.49</v>
      </c>
      <c r="AR36">
        <v>0.13</v>
      </c>
      <c r="AS36">
        <v>0</v>
      </c>
      <c r="AT36">
        <v>80</v>
      </c>
      <c r="AU36">
        <v>68</v>
      </c>
      <c r="AV36">
        <v>1</v>
      </c>
      <c r="AW36">
        <v>1</v>
      </c>
      <c r="AZ36">
        <v>6.71</v>
      </c>
      <c r="BA36">
        <v>6.71</v>
      </c>
      <c r="BB36">
        <v>6.71</v>
      </c>
      <c r="BC36">
        <v>6.71</v>
      </c>
      <c r="BD36" t="s">
        <v>6</v>
      </c>
      <c r="BE36" t="s">
        <v>6</v>
      </c>
      <c r="BF36" t="s">
        <v>6</v>
      </c>
      <c r="BG36" t="s">
        <v>6</v>
      </c>
      <c r="BH36">
        <v>0</v>
      </c>
      <c r="BI36">
        <v>1</v>
      </c>
      <c r="BJ36" t="s">
        <v>74</v>
      </c>
      <c r="BM36">
        <v>57001</v>
      </c>
      <c r="BN36">
        <v>0</v>
      </c>
      <c r="BO36" t="s">
        <v>6</v>
      </c>
      <c r="BP36">
        <v>0</v>
      </c>
      <c r="BQ36">
        <v>6</v>
      </c>
      <c r="BR36">
        <v>0</v>
      </c>
      <c r="BS36">
        <v>6.71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6</v>
      </c>
      <c r="BZ36">
        <v>80</v>
      </c>
      <c r="CA36">
        <v>68</v>
      </c>
      <c r="CE36">
        <v>0</v>
      </c>
      <c r="CF36">
        <v>0</v>
      </c>
      <c r="CG36">
        <v>0</v>
      </c>
      <c r="CM36">
        <v>0</v>
      </c>
      <c r="CN36" t="s">
        <v>6</v>
      </c>
      <c r="CO36">
        <v>0</v>
      </c>
      <c r="CP36">
        <f t="shared" si="37"/>
        <v>2827.05</v>
      </c>
      <c r="CQ36">
        <f t="shared" si="38"/>
        <v>0</v>
      </c>
      <c r="CR36">
        <f t="shared" si="39"/>
        <v>27.242599999999996</v>
      </c>
      <c r="CS36">
        <f t="shared" si="40"/>
        <v>11.8096</v>
      </c>
      <c r="CT36">
        <f t="shared" si="41"/>
        <v>1857.4621999999999</v>
      </c>
      <c r="CU36">
        <f t="shared" si="42"/>
        <v>0</v>
      </c>
      <c r="CV36">
        <f t="shared" si="43"/>
        <v>35.49</v>
      </c>
      <c r="CW36">
        <f t="shared" si="44"/>
        <v>0.13</v>
      </c>
      <c r="CX36">
        <f t="shared" si="45"/>
        <v>0</v>
      </c>
      <c r="CY36">
        <f t="shared" si="46"/>
        <v>2243.12</v>
      </c>
      <c r="CZ36">
        <f t="shared" si="47"/>
        <v>1906.652</v>
      </c>
      <c r="DC36" t="s">
        <v>6</v>
      </c>
      <c r="DD36" t="s">
        <v>6</v>
      </c>
      <c r="DE36" t="s">
        <v>6</v>
      </c>
      <c r="DF36" t="s">
        <v>6</v>
      </c>
      <c r="DG36" t="s">
        <v>6</v>
      </c>
      <c r="DH36" t="s">
        <v>6</v>
      </c>
      <c r="DI36" t="s">
        <v>6</v>
      </c>
      <c r="DJ36" t="s">
        <v>6</v>
      </c>
      <c r="DK36" t="s">
        <v>6</v>
      </c>
      <c r="DL36" t="s">
        <v>6</v>
      </c>
      <c r="DM36" t="s">
        <v>6</v>
      </c>
      <c r="DN36">
        <v>0</v>
      </c>
      <c r="DO36">
        <v>0</v>
      </c>
      <c r="DP36">
        <v>1</v>
      </c>
      <c r="DQ36">
        <v>1</v>
      </c>
      <c r="DU36">
        <v>1005</v>
      </c>
      <c r="DV36" t="s">
        <v>18</v>
      </c>
      <c r="DW36" t="s">
        <v>18</v>
      </c>
      <c r="DX36">
        <v>100</v>
      </c>
      <c r="EE36">
        <v>16510566</v>
      </c>
      <c r="EF36">
        <v>6</v>
      </c>
      <c r="EG36" t="s">
        <v>30</v>
      </c>
      <c r="EH36">
        <v>0</v>
      </c>
      <c r="EI36" t="s">
        <v>6</v>
      </c>
      <c r="EJ36">
        <v>1</v>
      </c>
      <c r="EK36">
        <v>57001</v>
      </c>
      <c r="EL36" t="s">
        <v>75</v>
      </c>
      <c r="EM36" t="s">
        <v>76</v>
      </c>
      <c r="EO36" t="s">
        <v>6</v>
      </c>
      <c r="EQ36">
        <v>0</v>
      </c>
      <c r="ER36">
        <v>280.88</v>
      </c>
      <c r="ES36">
        <v>0</v>
      </c>
      <c r="ET36">
        <v>4.0599999999999996</v>
      </c>
      <c r="EU36">
        <v>1.76</v>
      </c>
      <c r="EV36">
        <v>276.82</v>
      </c>
      <c r="EW36">
        <v>35.49</v>
      </c>
      <c r="EX36">
        <v>0.13</v>
      </c>
      <c r="EY36">
        <v>0</v>
      </c>
      <c r="FQ36">
        <v>0</v>
      </c>
      <c r="FR36">
        <f t="shared" si="48"/>
        <v>0</v>
      </c>
      <c r="FS36">
        <v>0</v>
      </c>
      <c r="FX36">
        <v>80</v>
      </c>
      <c r="FY36">
        <v>68</v>
      </c>
      <c r="GA36" t="s">
        <v>6</v>
      </c>
      <c r="GD36">
        <v>0</v>
      </c>
      <c r="GF36">
        <v>1273045449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9"/>
        <v>0</v>
      </c>
      <c r="GM36">
        <f t="shared" si="50"/>
        <v>6976.82</v>
      </c>
      <c r="GN36">
        <f t="shared" si="51"/>
        <v>6976.82</v>
      </c>
      <c r="GO36">
        <f t="shared" si="52"/>
        <v>0</v>
      </c>
      <c r="GP36">
        <f t="shared" si="53"/>
        <v>0</v>
      </c>
      <c r="GR36">
        <v>0</v>
      </c>
      <c r="GS36">
        <v>3</v>
      </c>
      <c r="GT36">
        <v>0</v>
      </c>
      <c r="GU36" t="s">
        <v>6</v>
      </c>
      <c r="GV36">
        <f t="shared" si="54"/>
        <v>0</v>
      </c>
      <c r="GW36">
        <v>1</v>
      </c>
      <c r="GX36">
        <f t="shared" si="55"/>
        <v>0</v>
      </c>
      <c r="HA36">
        <v>0</v>
      </c>
      <c r="HB36">
        <v>0</v>
      </c>
      <c r="HC36">
        <f t="shared" si="56"/>
        <v>0</v>
      </c>
      <c r="IK36">
        <v>0</v>
      </c>
    </row>
    <row r="37" spans="1:245" x14ac:dyDescent="0.2">
      <c r="A37">
        <v>17</v>
      </c>
      <c r="B37">
        <v>1</v>
      </c>
      <c r="C37">
        <f>ROW(SmtRes!A44)</f>
        <v>44</v>
      </c>
      <c r="D37">
        <f>ROW(EtalonRes!A46)</f>
        <v>46</v>
      </c>
      <c r="E37" t="s">
        <v>77</v>
      </c>
      <c r="F37" t="s">
        <v>78</v>
      </c>
      <c r="G37" t="s">
        <v>79</v>
      </c>
      <c r="H37" t="s">
        <v>18</v>
      </c>
      <c r="I37">
        <f>ROUND(166.3/100,9)</f>
        <v>1.663</v>
      </c>
      <c r="J37">
        <v>0</v>
      </c>
      <c r="O37">
        <f t="shared" si="21"/>
        <v>3195.42</v>
      </c>
      <c r="P37">
        <f t="shared" si="22"/>
        <v>0</v>
      </c>
      <c r="Q37">
        <f t="shared" si="23"/>
        <v>394.91</v>
      </c>
      <c r="R37">
        <f t="shared" si="24"/>
        <v>153.1</v>
      </c>
      <c r="S37">
        <f t="shared" si="25"/>
        <v>2800.51</v>
      </c>
      <c r="T37">
        <f t="shared" si="26"/>
        <v>0</v>
      </c>
      <c r="U37">
        <f t="shared" si="27"/>
        <v>52.564104</v>
      </c>
      <c r="V37">
        <f t="shared" si="28"/>
        <v>1.689608</v>
      </c>
      <c r="W37">
        <f t="shared" si="29"/>
        <v>0</v>
      </c>
      <c r="X37">
        <f t="shared" si="30"/>
        <v>3278.51</v>
      </c>
      <c r="Y37">
        <f t="shared" si="31"/>
        <v>1890.31</v>
      </c>
      <c r="AA37">
        <v>16808636</v>
      </c>
      <c r="AB37">
        <f t="shared" si="32"/>
        <v>286.36</v>
      </c>
      <c r="AC37">
        <f>ROUND(((ES37*0)),2)</f>
        <v>0</v>
      </c>
      <c r="AD37">
        <f>ROUND(((((ET37*0.8))-((EU37*0.8)))+AE37),2)</f>
        <v>35.39</v>
      </c>
      <c r="AE37">
        <f>ROUND(((EU37*0.8)),2)</f>
        <v>13.72</v>
      </c>
      <c r="AF37">
        <f>ROUND(((EV37*0.8)),2)</f>
        <v>250.97</v>
      </c>
      <c r="AG37">
        <f t="shared" si="34"/>
        <v>0</v>
      </c>
      <c r="AH37">
        <f>((EW37*0.8))</f>
        <v>31.608000000000001</v>
      </c>
      <c r="AI37">
        <f>((EX37*0.8))</f>
        <v>1.016</v>
      </c>
      <c r="AJ37">
        <f t="shared" si="36"/>
        <v>0</v>
      </c>
      <c r="AK37">
        <v>366.49</v>
      </c>
      <c r="AL37">
        <v>8.5399999999999991</v>
      </c>
      <c r="AM37">
        <v>44.24</v>
      </c>
      <c r="AN37">
        <v>17.149999999999999</v>
      </c>
      <c r="AO37">
        <v>313.70999999999998</v>
      </c>
      <c r="AP37">
        <v>0</v>
      </c>
      <c r="AQ37">
        <v>39.51</v>
      </c>
      <c r="AR37">
        <v>1.27</v>
      </c>
      <c r="AS37">
        <v>0</v>
      </c>
      <c r="AT37">
        <v>111</v>
      </c>
      <c r="AU37">
        <v>64</v>
      </c>
      <c r="AV37">
        <v>1</v>
      </c>
      <c r="AW37">
        <v>1</v>
      </c>
      <c r="AZ37">
        <v>6.71</v>
      </c>
      <c r="BA37">
        <v>6.71</v>
      </c>
      <c r="BB37">
        <v>6.71</v>
      </c>
      <c r="BC37">
        <v>6.71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80</v>
      </c>
      <c r="BM37">
        <v>11001</v>
      </c>
      <c r="BN37">
        <v>0</v>
      </c>
      <c r="BO37" t="s">
        <v>6</v>
      </c>
      <c r="BP37">
        <v>0</v>
      </c>
      <c r="BQ37">
        <v>2</v>
      </c>
      <c r="BR37">
        <v>0</v>
      </c>
      <c r="BS37">
        <v>6.71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123</v>
      </c>
      <c r="CA37">
        <v>75</v>
      </c>
      <c r="CE37">
        <v>0</v>
      </c>
      <c r="CF37">
        <v>0</v>
      </c>
      <c r="CG37">
        <v>0</v>
      </c>
      <c r="CM37">
        <v>0</v>
      </c>
      <c r="CN37" t="s">
        <v>81</v>
      </c>
      <c r="CO37">
        <v>0</v>
      </c>
      <c r="CP37">
        <f t="shared" si="37"/>
        <v>3195.42</v>
      </c>
      <c r="CQ37">
        <f t="shared" si="38"/>
        <v>0</v>
      </c>
      <c r="CR37">
        <f t="shared" si="39"/>
        <v>237.46690000000001</v>
      </c>
      <c r="CS37">
        <f t="shared" si="40"/>
        <v>92.061199999999999</v>
      </c>
      <c r="CT37">
        <f t="shared" si="41"/>
        <v>1684.0087000000001</v>
      </c>
      <c r="CU37">
        <f t="shared" si="42"/>
        <v>0</v>
      </c>
      <c r="CV37">
        <f t="shared" si="43"/>
        <v>31.608000000000001</v>
      </c>
      <c r="CW37">
        <f t="shared" si="44"/>
        <v>1.016</v>
      </c>
      <c r="CX37">
        <f t="shared" si="45"/>
        <v>0</v>
      </c>
      <c r="CY37">
        <f t="shared" si="46"/>
        <v>3278.5071000000003</v>
      </c>
      <c r="CZ37">
        <f t="shared" si="47"/>
        <v>1890.3104000000001</v>
      </c>
      <c r="DC37" t="s">
        <v>6</v>
      </c>
      <c r="DD37" t="s">
        <v>48</v>
      </c>
      <c r="DE37" t="s">
        <v>82</v>
      </c>
      <c r="DF37" t="s">
        <v>82</v>
      </c>
      <c r="DG37" t="s">
        <v>82</v>
      </c>
      <c r="DH37" t="s">
        <v>6</v>
      </c>
      <c r="DI37" t="s">
        <v>82</v>
      </c>
      <c r="DJ37" t="s">
        <v>82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18</v>
      </c>
      <c r="DW37" t="s">
        <v>18</v>
      </c>
      <c r="DX37">
        <v>100</v>
      </c>
      <c r="EE37">
        <v>16510488</v>
      </c>
      <c r="EF37">
        <v>2</v>
      </c>
      <c r="EG37" t="s">
        <v>20</v>
      </c>
      <c r="EH37">
        <v>0</v>
      </c>
      <c r="EI37" t="s">
        <v>6</v>
      </c>
      <c r="EJ37">
        <v>1</v>
      </c>
      <c r="EK37">
        <v>11001</v>
      </c>
      <c r="EL37" t="s">
        <v>75</v>
      </c>
      <c r="EM37" t="s">
        <v>83</v>
      </c>
      <c r="EO37" t="s">
        <v>84</v>
      </c>
      <c r="EQ37">
        <v>0</v>
      </c>
      <c r="ER37">
        <v>366.49</v>
      </c>
      <c r="ES37">
        <v>8.5399999999999991</v>
      </c>
      <c r="ET37">
        <v>44.24</v>
      </c>
      <c r="EU37">
        <v>17.149999999999999</v>
      </c>
      <c r="EV37">
        <v>313.70999999999998</v>
      </c>
      <c r="EW37">
        <v>39.51</v>
      </c>
      <c r="EX37">
        <v>1.27</v>
      </c>
      <c r="EY37">
        <v>0</v>
      </c>
      <c r="FQ37">
        <v>0</v>
      </c>
      <c r="FR37">
        <f t="shared" si="48"/>
        <v>0</v>
      </c>
      <c r="FS37">
        <v>0</v>
      </c>
      <c r="FT37" t="s">
        <v>23</v>
      </c>
      <c r="FU37" t="s">
        <v>24</v>
      </c>
      <c r="FX37">
        <v>110.7</v>
      </c>
      <c r="FY37">
        <v>63.75</v>
      </c>
      <c r="GA37" t="s">
        <v>6</v>
      </c>
      <c r="GD37">
        <v>0</v>
      </c>
      <c r="GF37">
        <v>-1520010440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9"/>
        <v>0</v>
      </c>
      <c r="GM37">
        <f t="shared" si="50"/>
        <v>8364.24</v>
      </c>
      <c r="GN37">
        <f t="shared" si="51"/>
        <v>8364.24</v>
      </c>
      <c r="GO37">
        <f t="shared" si="52"/>
        <v>0</v>
      </c>
      <c r="GP37">
        <f t="shared" si="53"/>
        <v>0</v>
      </c>
      <c r="GR37">
        <v>0</v>
      </c>
      <c r="GS37">
        <v>3</v>
      </c>
      <c r="GT37">
        <v>0</v>
      </c>
      <c r="GU37" t="s">
        <v>6</v>
      </c>
      <c r="GV37">
        <f t="shared" si="54"/>
        <v>0</v>
      </c>
      <c r="GW37">
        <v>1</v>
      </c>
      <c r="GX37">
        <f t="shared" si="55"/>
        <v>0</v>
      </c>
      <c r="HA37">
        <v>0</v>
      </c>
      <c r="HB37">
        <v>0</v>
      </c>
      <c r="HC37">
        <f t="shared" si="56"/>
        <v>0</v>
      </c>
      <c r="IK37">
        <v>0</v>
      </c>
    </row>
    <row r="38" spans="1:245" x14ac:dyDescent="0.2">
      <c r="A38">
        <v>17</v>
      </c>
      <c r="B38">
        <v>1</v>
      </c>
      <c r="C38">
        <f>ROW(SmtRes!A45)</f>
        <v>45</v>
      </c>
      <c r="D38">
        <f>ROW(EtalonRes!A48)</f>
        <v>48</v>
      </c>
      <c r="E38" t="s">
        <v>85</v>
      </c>
      <c r="F38" t="s">
        <v>86</v>
      </c>
      <c r="G38" t="s">
        <v>87</v>
      </c>
      <c r="H38" t="s">
        <v>40</v>
      </c>
      <c r="I38">
        <f>ROUND(137.3/100,9)</f>
        <v>1.373</v>
      </c>
      <c r="J38">
        <v>0</v>
      </c>
      <c r="O38">
        <f t="shared" si="21"/>
        <v>270.95</v>
      </c>
      <c r="P38">
        <f t="shared" si="22"/>
        <v>0</v>
      </c>
      <c r="Q38">
        <f t="shared" si="23"/>
        <v>0</v>
      </c>
      <c r="R38">
        <f t="shared" si="24"/>
        <v>0</v>
      </c>
      <c r="S38">
        <f t="shared" si="25"/>
        <v>270.95</v>
      </c>
      <c r="T38">
        <f t="shared" si="26"/>
        <v>0</v>
      </c>
      <c r="U38">
        <f t="shared" si="27"/>
        <v>5.1762100000000002</v>
      </c>
      <c r="V38">
        <f t="shared" si="28"/>
        <v>0</v>
      </c>
      <c r="W38">
        <f t="shared" si="29"/>
        <v>0</v>
      </c>
      <c r="X38">
        <f t="shared" si="30"/>
        <v>216.76</v>
      </c>
      <c r="Y38">
        <f t="shared" si="31"/>
        <v>184.25</v>
      </c>
      <c r="AA38">
        <v>16808636</v>
      </c>
      <c r="AB38">
        <f t="shared" si="32"/>
        <v>29.41</v>
      </c>
      <c r="AC38">
        <f>ROUND((ES38),2)</f>
        <v>0</v>
      </c>
      <c r="AD38">
        <f t="shared" ref="AD38:AD44" si="59">ROUND((((ET38)-(EU38))+AE38),2)</f>
        <v>0</v>
      </c>
      <c r="AE38">
        <f t="shared" ref="AE38:AF44" si="60">ROUND((EU38),2)</f>
        <v>0</v>
      </c>
      <c r="AF38">
        <f t="shared" si="60"/>
        <v>29.41</v>
      </c>
      <c r="AG38">
        <f t="shared" si="34"/>
        <v>0</v>
      </c>
      <c r="AH38">
        <f t="shared" ref="AH38:AI44" si="61">(EW38)</f>
        <v>3.77</v>
      </c>
      <c r="AI38">
        <f t="shared" si="61"/>
        <v>0</v>
      </c>
      <c r="AJ38">
        <f t="shared" si="36"/>
        <v>0</v>
      </c>
      <c r="AK38">
        <v>29.41</v>
      </c>
      <c r="AL38">
        <v>0</v>
      </c>
      <c r="AM38">
        <v>0</v>
      </c>
      <c r="AN38">
        <v>0</v>
      </c>
      <c r="AO38">
        <v>29.41</v>
      </c>
      <c r="AP38">
        <v>0</v>
      </c>
      <c r="AQ38">
        <v>3.77</v>
      </c>
      <c r="AR38">
        <v>0</v>
      </c>
      <c r="AS38">
        <v>0</v>
      </c>
      <c r="AT38">
        <v>80</v>
      </c>
      <c r="AU38">
        <v>68</v>
      </c>
      <c r="AV38">
        <v>1</v>
      </c>
      <c r="AW38">
        <v>1</v>
      </c>
      <c r="AZ38">
        <v>6.71</v>
      </c>
      <c r="BA38">
        <v>6.71</v>
      </c>
      <c r="BB38">
        <v>6.71</v>
      </c>
      <c r="BC38">
        <v>6.71</v>
      </c>
      <c r="BD38" t="s">
        <v>6</v>
      </c>
      <c r="BE38" t="s">
        <v>6</v>
      </c>
      <c r="BF38" t="s">
        <v>6</v>
      </c>
      <c r="BG38" t="s">
        <v>6</v>
      </c>
      <c r="BH38">
        <v>0</v>
      </c>
      <c r="BI38">
        <v>1</v>
      </c>
      <c r="BJ38" t="s">
        <v>88</v>
      </c>
      <c r="BM38">
        <v>57001</v>
      </c>
      <c r="BN38">
        <v>0</v>
      </c>
      <c r="BO38" t="s">
        <v>6</v>
      </c>
      <c r="BP38">
        <v>0</v>
      </c>
      <c r="BQ38">
        <v>6</v>
      </c>
      <c r="BR38">
        <v>0</v>
      </c>
      <c r="BS38">
        <v>6.71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6</v>
      </c>
      <c r="BZ38">
        <v>80</v>
      </c>
      <c r="CA38">
        <v>68</v>
      </c>
      <c r="CE38">
        <v>0</v>
      </c>
      <c r="CF38">
        <v>0</v>
      </c>
      <c r="CG38">
        <v>0</v>
      </c>
      <c r="CM38">
        <v>0</v>
      </c>
      <c r="CN38" t="s">
        <v>6</v>
      </c>
      <c r="CO38">
        <v>0</v>
      </c>
      <c r="CP38">
        <f t="shared" si="37"/>
        <v>270.95</v>
      </c>
      <c r="CQ38">
        <f t="shared" si="38"/>
        <v>0</v>
      </c>
      <c r="CR38">
        <f t="shared" si="39"/>
        <v>0</v>
      </c>
      <c r="CS38">
        <f t="shared" si="40"/>
        <v>0</v>
      </c>
      <c r="CT38">
        <f t="shared" si="41"/>
        <v>197.34110000000001</v>
      </c>
      <c r="CU38">
        <f t="shared" si="42"/>
        <v>0</v>
      </c>
      <c r="CV38">
        <f t="shared" si="43"/>
        <v>3.77</v>
      </c>
      <c r="CW38">
        <f t="shared" si="44"/>
        <v>0</v>
      </c>
      <c r="CX38">
        <f t="shared" si="45"/>
        <v>0</v>
      </c>
      <c r="CY38">
        <f t="shared" si="46"/>
        <v>216.76</v>
      </c>
      <c r="CZ38">
        <f t="shared" si="47"/>
        <v>184.24599999999998</v>
      </c>
      <c r="DC38" t="s">
        <v>6</v>
      </c>
      <c r="DD38" t="s">
        <v>6</v>
      </c>
      <c r="DE38" t="s">
        <v>6</v>
      </c>
      <c r="DF38" t="s">
        <v>6</v>
      </c>
      <c r="DG38" t="s">
        <v>6</v>
      </c>
      <c r="DH38" t="s">
        <v>6</v>
      </c>
      <c r="DI38" t="s">
        <v>6</v>
      </c>
      <c r="DJ38" t="s">
        <v>6</v>
      </c>
      <c r="DK38" t="s">
        <v>6</v>
      </c>
      <c r="DL38" t="s">
        <v>6</v>
      </c>
      <c r="DM38" t="s">
        <v>6</v>
      </c>
      <c r="DN38">
        <v>0</v>
      </c>
      <c r="DO38">
        <v>0</v>
      </c>
      <c r="DP38">
        <v>1</v>
      </c>
      <c r="DQ38">
        <v>1</v>
      </c>
      <c r="DU38">
        <v>1003</v>
      </c>
      <c r="DV38" t="s">
        <v>40</v>
      </c>
      <c r="DW38" t="s">
        <v>40</v>
      </c>
      <c r="DX38">
        <v>100</v>
      </c>
      <c r="EE38">
        <v>16510566</v>
      </c>
      <c r="EF38">
        <v>6</v>
      </c>
      <c r="EG38" t="s">
        <v>30</v>
      </c>
      <c r="EH38">
        <v>0</v>
      </c>
      <c r="EI38" t="s">
        <v>6</v>
      </c>
      <c r="EJ38">
        <v>1</v>
      </c>
      <c r="EK38">
        <v>57001</v>
      </c>
      <c r="EL38" t="s">
        <v>75</v>
      </c>
      <c r="EM38" t="s">
        <v>76</v>
      </c>
      <c r="EO38" t="s">
        <v>6</v>
      </c>
      <c r="EQ38">
        <v>0</v>
      </c>
      <c r="ER38">
        <v>29.41</v>
      </c>
      <c r="ES38">
        <v>0</v>
      </c>
      <c r="ET38">
        <v>0</v>
      </c>
      <c r="EU38">
        <v>0</v>
      </c>
      <c r="EV38">
        <v>29.41</v>
      </c>
      <c r="EW38">
        <v>3.77</v>
      </c>
      <c r="EX38">
        <v>0</v>
      </c>
      <c r="EY38">
        <v>0</v>
      </c>
      <c r="FQ38">
        <v>0</v>
      </c>
      <c r="FR38">
        <f t="shared" si="48"/>
        <v>0</v>
      </c>
      <c r="FS38">
        <v>0</v>
      </c>
      <c r="FX38">
        <v>80</v>
      </c>
      <c r="FY38">
        <v>68</v>
      </c>
      <c r="GA38" t="s">
        <v>6</v>
      </c>
      <c r="GD38">
        <v>0</v>
      </c>
      <c r="GF38">
        <v>-1389370821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9"/>
        <v>0</v>
      </c>
      <c r="GM38">
        <f t="shared" si="50"/>
        <v>671.96</v>
      </c>
      <c r="GN38">
        <f t="shared" si="51"/>
        <v>671.96</v>
      </c>
      <c r="GO38">
        <f t="shared" si="52"/>
        <v>0</v>
      </c>
      <c r="GP38">
        <f t="shared" si="53"/>
        <v>0</v>
      </c>
      <c r="GR38">
        <v>0</v>
      </c>
      <c r="GS38">
        <v>3</v>
      </c>
      <c r="GT38">
        <v>0</v>
      </c>
      <c r="GU38" t="s">
        <v>6</v>
      </c>
      <c r="GV38">
        <f t="shared" si="54"/>
        <v>0</v>
      </c>
      <c r="GW38">
        <v>1</v>
      </c>
      <c r="GX38">
        <f t="shared" si="55"/>
        <v>0</v>
      </c>
      <c r="HA38">
        <v>0</v>
      </c>
      <c r="HB38">
        <v>0</v>
      </c>
      <c r="HC38">
        <f t="shared" si="56"/>
        <v>0</v>
      </c>
      <c r="IK38">
        <v>0</v>
      </c>
    </row>
    <row r="39" spans="1:245" x14ac:dyDescent="0.2">
      <c r="A39">
        <v>17</v>
      </c>
      <c r="B39">
        <v>1</v>
      </c>
      <c r="C39">
        <f>ROW(SmtRes!A50)</f>
        <v>50</v>
      </c>
      <c r="D39">
        <f>ROW(EtalonRes!A53)</f>
        <v>53</v>
      </c>
      <c r="E39" t="s">
        <v>89</v>
      </c>
      <c r="F39" t="s">
        <v>90</v>
      </c>
      <c r="G39" t="s">
        <v>91</v>
      </c>
      <c r="H39" t="s">
        <v>18</v>
      </c>
      <c r="I39">
        <f>ROUND(4.5/100,9)</f>
        <v>4.4999999999999998E-2</v>
      </c>
      <c r="J39">
        <v>0</v>
      </c>
      <c r="O39">
        <f t="shared" si="21"/>
        <v>197.47</v>
      </c>
      <c r="P39">
        <f t="shared" si="22"/>
        <v>0</v>
      </c>
      <c r="Q39">
        <f t="shared" si="23"/>
        <v>20.91</v>
      </c>
      <c r="R39">
        <f t="shared" si="24"/>
        <v>1.43</v>
      </c>
      <c r="S39">
        <f t="shared" si="25"/>
        <v>176.56</v>
      </c>
      <c r="T39">
        <f t="shared" si="26"/>
        <v>0</v>
      </c>
      <c r="U39">
        <f t="shared" si="27"/>
        <v>3.3434999999999997</v>
      </c>
      <c r="V39">
        <f t="shared" si="28"/>
        <v>1.575E-2</v>
      </c>
      <c r="W39">
        <f t="shared" si="29"/>
        <v>0</v>
      </c>
      <c r="X39">
        <f t="shared" si="30"/>
        <v>137.05000000000001</v>
      </c>
      <c r="Y39">
        <f t="shared" si="31"/>
        <v>89</v>
      </c>
      <c r="AA39">
        <v>16808636</v>
      </c>
      <c r="AB39">
        <f t="shared" si="32"/>
        <v>654</v>
      </c>
      <c r="AC39">
        <f>ROUND((ES39),2)</f>
        <v>0</v>
      </c>
      <c r="AD39">
        <f t="shared" si="59"/>
        <v>69.260000000000005</v>
      </c>
      <c r="AE39">
        <f t="shared" si="60"/>
        <v>4.7300000000000004</v>
      </c>
      <c r="AF39">
        <f t="shared" si="60"/>
        <v>584.74</v>
      </c>
      <c r="AG39">
        <f t="shared" si="34"/>
        <v>0</v>
      </c>
      <c r="AH39">
        <f t="shared" si="61"/>
        <v>74.3</v>
      </c>
      <c r="AI39">
        <f t="shared" si="61"/>
        <v>0.35</v>
      </c>
      <c r="AJ39">
        <f t="shared" si="36"/>
        <v>0</v>
      </c>
      <c r="AK39">
        <v>654</v>
      </c>
      <c r="AL39">
        <v>0</v>
      </c>
      <c r="AM39">
        <v>69.260000000000005</v>
      </c>
      <c r="AN39">
        <v>4.7300000000000004</v>
      </c>
      <c r="AO39">
        <v>584.74</v>
      </c>
      <c r="AP39">
        <v>0</v>
      </c>
      <c r="AQ39">
        <v>74.3</v>
      </c>
      <c r="AR39">
        <v>0.35</v>
      </c>
      <c r="AS39">
        <v>0</v>
      </c>
      <c r="AT39">
        <v>77</v>
      </c>
      <c r="AU39">
        <v>50</v>
      </c>
      <c r="AV39">
        <v>1</v>
      </c>
      <c r="AW39">
        <v>1</v>
      </c>
      <c r="AZ39">
        <v>6.71</v>
      </c>
      <c r="BA39">
        <v>6.71</v>
      </c>
      <c r="BB39">
        <v>6.71</v>
      </c>
      <c r="BC39">
        <v>6.71</v>
      </c>
      <c r="BD39" t="s">
        <v>6</v>
      </c>
      <c r="BE39" t="s">
        <v>6</v>
      </c>
      <c r="BF39" t="s">
        <v>6</v>
      </c>
      <c r="BG39" t="s">
        <v>6</v>
      </c>
      <c r="BH39">
        <v>0</v>
      </c>
      <c r="BI39">
        <v>1</v>
      </c>
      <c r="BJ39" t="s">
        <v>92</v>
      </c>
      <c r="BM39">
        <v>63001</v>
      </c>
      <c r="BN39">
        <v>0</v>
      </c>
      <c r="BO39" t="s">
        <v>6</v>
      </c>
      <c r="BP39">
        <v>0</v>
      </c>
      <c r="BQ39">
        <v>6</v>
      </c>
      <c r="BR39">
        <v>0</v>
      </c>
      <c r="BS39">
        <v>6.71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77</v>
      </c>
      <c r="CA39">
        <v>50</v>
      </c>
      <c r="CE39">
        <v>0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37"/>
        <v>197.47</v>
      </c>
      <c r="CQ39">
        <f t="shared" si="38"/>
        <v>0</v>
      </c>
      <c r="CR39">
        <f t="shared" si="39"/>
        <v>464.73460000000006</v>
      </c>
      <c r="CS39">
        <f t="shared" si="40"/>
        <v>31.738300000000002</v>
      </c>
      <c r="CT39">
        <f t="shared" si="41"/>
        <v>3923.6053999999999</v>
      </c>
      <c r="CU39">
        <f t="shared" si="42"/>
        <v>0</v>
      </c>
      <c r="CV39">
        <f t="shared" si="43"/>
        <v>74.3</v>
      </c>
      <c r="CW39">
        <f t="shared" si="44"/>
        <v>0.35</v>
      </c>
      <c r="CX39">
        <f t="shared" si="45"/>
        <v>0</v>
      </c>
      <c r="CY39">
        <f t="shared" si="46"/>
        <v>137.0523</v>
      </c>
      <c r="CZ39">
        <f t="shared" si="47"/>
        <v>88.995000000000005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1005</v>
      </c>
      <c r="DV39" t="s">
        <v>18</v>
      </c>
      <c r="DW39" t="s">
        <v>18</v>
      </c>
      <c r="DX39">
        <v>100</v>
      </c>
      <c r="EE39">
        <v>16510572</v>
      </c>
      <c r="EF39">
        <v>6</v>
      </c>
      <c r="EG39" t="s">
        <v>30</v>
      </c>
      <c r="EH39">
        <v>0</v>
      </c>
      <c r="EI39" t="s">
        <v>6</v>
      </c>
      <c r="EJ39">
        <v>1</v>
      </c>
      <c r="EK39">
        <v>63001</v>
      </c>
      <c r="EL39" t="s">
        <v>93</v>
      </c>
      <c r="EM39" t="s">
        <v>94</v>
      </c>
      <c r="EO39" t="s">
        <v>6</v>
      </c>
      <c r="EQ39">
        <v>0</v>
      </c>
      <c r="ER39">
        <v>654</v>
      </c>
      <c r="ES39">
        <v>0</v>
      </c>
      <c r="ET39">
        <v>69.260000000000005</v>
      </c>
      <c r="EU39">
        <v>4.7300000000000004</v>
      </c>
      <c r="EV39">
        <v>584.74</v>
      </c>
      <c r="EW39">
        <v>74.3</v>
      </c>
      <c r="EX39">
        <v>0.35</v>
      </c>
      <c r="EY39">
        <v>0</v>
      </c>
      <c r="FQ39">
        <v>0</v>
      </c>
      <c r="FR39">
        <f t="shared" si="48"/>
        <v>0</v>
      </c>
      <c r="FS39">
        <v>0</v>
      </c>
      <c r="FX39">
        <v>77</v>
      </c>
      <c r="FY39">
        <v>50</v>
      </c>
      <c r="GA39" t="s">
        <v>6</v>
      </c>
      <c r="GD39">
        <v>0</v>
      </c>
      <c r="GF39">
        <v>1410032296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9"/>
        <v>0</v>
      </c>
      <c r="GM39">
        <f t="shared" si="50"/>
        <v>423.52</v>
      </c>
      <c r="GN39">
        <f t="shared" si="51"/>
        <v>423.52</v>
      </c>
      <c r="GO39">
        <f t="shared" si="52"/>
        <v>0</v>
      </c>
      <c r="GP39">
        <f t="shared" si="53"/>
        <v>0</v>
      </c>
      <c r="GR39">
        <v>0</v>
      </c>
      <c r="GS39">
        <v>3</v>
      </c>
      <c r="GT39">
        <v>0</v>
      </c>
      <c r="GU39" t="s">
        <v>6</v>
      </c>
      <c r="GV39">
        <f t="shared" si="54"/>
        <v>0</v>
      </c>
      <c r="GW39">
        <v>1</v>
      </c>
      <c r="GX39">
        <f t="shared" si="55"/>
        <v>0</v>
      </c>
      <c r="HA39">
        <v>0</v>
      </c>
      <c r="HB39">
        <v>0</v>
      </c>
      <c r="HC39">
        <f t="shared" si="56"/>
        <v>0</v>
      </c>
      <c r="IK39">
        <v>0</v>
      </c>
    </row>
    <row r="40" spans="1:245" x14ac:dyDescent="0.2">
      <c r="A40">
        <v>17</v>
      </c>
      <c r="B40">
        <v>1</v>
      </c>
      <c r="C40">
        <f>ROW(SmtRes!A54)</f>
        <v>54</v>
      </c>
      <c r="D40">
        <f>ROW(EtalonRes!A57)</f>
        <v>57</v>
      </c>
      <c r="E40" t="s">
        <v>95</v>
      </c>
      <c r="F40" t="s">
        <v>96</v>
      </c>
      <c r="G40" t="s">
        <v>97</v>
      </c>
      <c r="H40" t="s">
        <v>28</v>
      </c>
      <c r="I40">
        <f>ROUND(3/100,9)</f>
        <v>0.03</v>
      </c>
      <c r="J40">
        <v>0</v>
      </c>
      <c r="O40">
        <f t="shared" si="21"/>
        <v>63.48</v>
      </c>
      <c r="P40">
        <f t="shared" si="22"/>
        <v>0</v>
      </c>
      <c r="Q40">
        <f t="shared" si="23"/>
        <v>0.44</v>
      </c>
      <c r="R40">
        <f t="shared" si="24"/>
        <v>0.19</v>
      </c>
      <c r="S40">
        <f t="shared" si="25"/>
        <v>63.04</v>
      </c>
      <c r="T40">
        <f t="shared" si="26"/>
        <v>0</v>
      </c>
      <c r="U40">
        <f t="shared" si="27"/>
        <v>1.1012999999999999</v>
      </c>
      <c r="V40">
        <f t="shared" si="28"/>
        <v>2.1000000000000003E-3</v>
      </c>
      <c r="W40">
        <f t="shared" si="29"/>
        <v>0</v>
      </c>
      <c r="X40">
        <f t="shared" si="30"/>
        <v>46.79</v>
      </c>
      <c r="Y40">
        <f t="shared" si="31"/>
        <v>31.62</v>
      </c>
      <c r="AA40">
        <v>16808636</v>
      </c>
      <c r="AB40">
        <f t="shared" si="32"/>
        <v>315.33</v>
      </c>
      <c r="AC40">
        <f>ROUND((ES40),2)</f>
        <v>0</v>
      </c>
      <c r="AD40">
        <f t="shared" si="59"/>
        <v>2.19</v>
      </c>
      <c r="AE40">
        <f t="shared" si="60"/>
        <v>0.95</v>
      </c>
      <c r="AF40">
        <f t="shared" si="60"/>
        <v>313.14</v>
      </c>
      <c r="AG40">
        <f t="shared" si="34"/>
        <v>0</v>
      </c>
      <c r="AH40">
        <f t="shared" si="61"/>
        <v>36.71</v>
      </c>
      <c r="AI40">
        <f t="shared" si="61"/>
        <v>7.0000000000000007E-2</v>
      </c>
      <c r="AJ40">
        <f t="shared" si="36"/>
        <v>0</v>
      </c>
      <c r="AK40">
        <v>315.33</v>
      </c>
      <c r="AL40">
        <v>0</v>
      </c>
      <c r="AM40">
        <v>2.19</v>
      </c>
      <c r="AN40">
        <v>0.95</v>
      </c>
      <c r="AO40">
        <v>313.14</v>
      </c>
      <c r="AP40">
        <v>0</v>
      </c>
      <c r="AQ40">
        <v>36.71</v>
      </c>
      <c r="AR40">
        <v>7.0000000000000007E-2</v>
      </c>
      <c r="AS40">
        <v>0</v>
      </c>
      <c r="AT40">
        <v>74</v>
      </c>
      <c r="AU40">
        <v>50</v>
      </c>
      <c r="AV40">
        <v>1</v>
      </c>
      <c r="AW40">
        <v>1</v>
      </c>
      <c r="AZ40">
        <v>6.71</v>
      </c>
      <c r="BA40">
        <v>6.71</v>
      </c>
      <c r="BB40">
        <v>6.71</v>
      </c>
      <c r="BC40">
        <v>6.71</v>
      </c>
      <c r="BD40" t="s">
        <v>6</v>
      </c>
      <c r="BE40" t="s">
        <v>6</v>
      </c>
      <c r="BF40" t="s">
        <v>6</v>
      </c>
      <c r="BG40" t="s">
        <v>6</v>
      </c>
      <c r="BH40">
        <v>0</v>
      </c>
      <c r="BI40">
        <v>1</v>
      </c>
      <c r="BJ40" t="s">
        <v>98</v>
      </c>
      <c r="BM40">
        <v>65001</v>
      </c>
      <c r="BN40">
        <v>0</v>
      </c>
      <c r="BO40" t="s">
        <v>6</v>
      </c>
      <c r="BP40">
        <v>0</v>
      </c>
      <c r="BQ40">
        <v>6</v>
      </c>
      <c r="BR40">
        <v>0</v>
      </c>
      <c r="BS40">
        <v>6.71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6</v>
      </c>
      <c r="BZ40">
        <v>74</v>
      </c>
      <c r="CA40">
        <v>50</v>
      </c>
      <c r="CE40">
        <v>0</v>
      </c>
      <c r="CF40">
        <v>0</v>
      </c>
      <c r="CG40">
        <v>0</v>
      </c>
      <c r="CM40">
        <v>0</v>
      </c>
      <c r="CN40" t="s">
        <v>6</v>
      </c>
      <c r="CO40">
        <v>0</v>
      </c>
      <c r="CP40">
        <f t="shared" si="37"/>
        <v>63.48</v>
      </c>
      <c r="CQ40">
        <f t="shared" si="38"/>
        <v>0</v>
      </c>
      <c r="CR40">
        <f t="shared" si="39"/>
        <v>14.694899999999999</v>
      </c>
      <c r="CS40">
        <f t="shared" si="40"/>
        <v>6.3744999999999994</v>
      </c>
      <c r="CT40">
        <f t="shared" si="41"/>
        <v>2101.1693999999998</v>
      </c>
      <c r="CU40">
        <f t="shared" si="42"/>
        <v>0</v>
      </c>
      <c r="CV40">
        <f t="shared" si="43"/>
        <v>36.71</v>
      </c>
      <c r="CW40">
        <f t="shared" si="44"/>
        <v>7.0000000000000007E-2</v>
      </c>
      <c r="CX40">
        <f t="shared" si="45"/>
        <v>0</v>
      </c>
      <c r="CY40">
        <f t="shared" si="46"/>
        <v>46.790199999999999</v>
      </c>
      <c r="CZ40">
        <f t="shared" si="47"/>
        <v>31.614999999999998</v>
      </c>
      <c r="DC40" t="s">
        <v>6</v>
      </c>
      <c r="DD40" t="s">
        <v>6</v>
      </c>
      <c r="DE40" t="s">
        <v>6</v>
      </c>
      <c r="DF40" t="s">
        <v>6</v>
      </c>
      <c r="DG40" t="s">
        <v>6</v>
      </c>
      <c r="DH40" t="s">
        <v>6</v>
      </c>
      <c r="DI40" t="s">
        <v>6</v>
      </c>
      <c r="DJ40" t="s">
        <v>6</v>
      </c>
      <c r="DK40" t="s">
        <v>6</v>
      </c>
      <c r="DL40" t="s">
        <v>6</v>
      </c>
      <c r="DM40" t="s">
        <v>6</v>
      </c>
      <c r="DN40">
        <v>0</v>
      </c>
      <c r="DO40">
        <v>0</v>
      </c>
      <c r="DP40">
        <v>1</v>
      </c>
      <c r="DQ40">
        <v>1</v>
      </c>
      <c r="DU40">
        <v>1013</v>
      </c>
      <c r="DV40" t="s">
        <v>28</v>
      </c>
      <c r="DW40" t="s">
        <v>28</v>
      </c>
      <c r="DX40">
        <v>1</v>
      </c>
      <c r="EE40">
        <v>16510574</v>
      </c>
      <c r="EF40">
        <v>6</v>
      </c>
      <c r="EG40" t="s">
        <v>30</v>
      </c>
      <c r="EH40">
        <v>0</v>
      </c>
      <c r="EI40" t="s">
        <v>6</v>
      </c>
      <c r="EJ40">
        <v>1</v>
      </c>
      <c r="EK40">
        <v>65001</v>
      </c>
      <c r="EL40" t="s">
        <v>99</v>
      </c>
      <c r="EM40" t="s">
        <v>100</v>
      </c>
      <c r="EO40" t="s">
        <v>6</v>
      </c>
      <c r="EQ40">
        <v>0</v>
      </c>
      <c r="ER40">
        <v>315.33</v>
      </c>
      <c r="ES40">
        <v>0</v>
      </c>
      <c r="ET40">
        <v>2.19</v>
      </c>
      <c r="EU40">
        <v>0.95</v>
      </c>
      <c r="EV40">
        <v>313.14</v>
      </c>
      <c r="EW40">
        <v>36.71</v>
      </c>
      <c r="EX40">
        <v>7.0000000000000007E-2</v>
      </c>
      <c r="EY40">
        <v>0</v>
      </c>
      <c r="FQ40">
        <v>0</v>
      </c>
      <c r="FR40">
        <f t="shared" si="48"/>
        <v>0</v>
      </c>
      <c r="FS40">
        <v>0</v>
      </c>
      <c r="FX40">
        <v>74</v>
      </c>
      <c r="FY40">
        <v>50</v>
      </c>
      <c r="GA40" t="s">
        <v>6</v>
      </c>
      <c r="GD40">
        <v>0</v>
      </c>
      <c r="GF40">
        <v>2129386662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9"/>
        <v>0</v>
      </c>
      <c r="GM40">
        <f t="shared" si="50"/>
        <v>141.88999999999999</v>
      </c>
      <c r="GN40">
        <f t="shared" si="51"/>
        <v>141.88999999999999</v>
      </c>
      <c r="GO40">
        <f t="shared" si="52"/>
        <v>0</v>
      </c>
      <c r="GP40">
        <f t="shared" si="53"/>
        <v>0</v>
      </c>
      <c r="GR40">
        <v>0</v>
      </c>
      <c r="GS40">
        <v>3</v>
      </c>
      <c r="GT40">
        <v>0</v>
      </c>
      <c r="GU40" t="s">
        <v>6</v>
      </c>
      <c r="GV40">
        <f t="shared" si="54"/>
        <v>0</v>
      </c>
      <c r="GW40">
        <v>1</v>
      </c>
      <c r="GX40">
        <f t="shared" si="55"/>
        <v>0</v>
      </c>
      <c r="HA40">
        <v>0</v>
      </c>
      <c r="HB40">
        <v>0</v>
      </c>
      <c r="HC40">
        <f t="shared" si="56"/>
        <v>0</v>
      </c>
      <c r="IK40">
        <v>0</v>
      </c>
    </row>
    <row r="41" spans="1:245" x14ac:dyDescent="0.2">
      <c r="A41">
        <v>18</v>
      </c>
      <c r="B41">
        <v>1</v>
      </c>
      <c r="C41">
        <v>54</v>
      </c>
      <c r="E41" t="s">
        <v>101</v>
      </c>
      <c r="F41" t="s">
        <v>102</v>
      </c>
      <c r="G41" t="s">
        <v>103</v>
      </c>
      <c r="H41" t="s">
        <v>104</v>
      </c>
      <c r="I41">
        <f>I40*J41</f>
        <v>6.6E-3</v>
      </c>
      <c r="J41">
        <v>0.22</v>
      </c>
      <c r="O41">
        <f t="shared" si="21"/>
        <v>0</v>
      </c>
      <c r="P41">
        <f t="shared" si="22"/>
        <v>0</v>
      </c>
      <c r="Q41">
        <f t="shared" si="23"/>
        <v>0</v>
      </c>
      <c r="R41">
        <f t="shared" si="24"/>
        <v>0</v>
      </c>
      <c r="S41">
        <f t="shared" si="25"/>
        <v>0</v>
      </c>
      <c r="T41">
        <f t="shared" si="26"/>
        <v>0</v>
      </c>
      <c r="U41">
        <f t="shared" si="27"/>
        <v>0</v>
      </c>
      <c r="V41">
        <f t="shared" si="28"/>
        <v>0</v>
      </c>
      <c r="W41">
        <f t="shared" si="29"/>
        <v>0</v>
      </c>
      <c r="X41">
        <f t="shared" si="30"/>
        <v>0</v>
      </c>
      <c r="Y41">
        <f t="shared" si="31"/>
        <v>0</v>
      </c>
      <c r="AA41">
        <v>16808636</v>
      </c>
      <c r="AB41">
        <f t="shared" si="32"/>
        <v>0</v>
      </c>
      <c r="AC41">
        <f>ROUND((ES41),2)</f>
        <v>0</v>
      </c>
      <c r="AD41">
        <f t="shared" si="59"/>
        <v>0</v>
      </c>
      <c r="AE41">
        <f t="shared" si="60"/>
        <v>0</v>
      </c>
      <c r="AF41">
        <f t="shared" si="60"/>
        <v>0</v>
      </c>
      <c r="AG41">
        <f t="shared" si="34"/>
        <v>0</v>
      </c>
      <c r="AH41">
        <f t="shared" si="61"/>
        <v>0</v>
      </c>
      <c r="AI41">
        <f t="shared" si="61"/>
        <v>0</v>
      </c>
      <c r="AJ41">
        <f t="shared" si="36"/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74</v>
      </c>
      <c r="AU41">
        <v>50</v>
      </c>
      <c r="AV41">
        <v>1</v>
      </c>
      <c r="AW41">
        <v>1</v>
      </c>
      <c r="AZ41">
        <v>6.71</v>
      </c>
      <c r="BA41">
        <v>1</v>
      </c>
      <c r="BB41">
        <v>1</v>
      </c>
      <c r="BC41">
        <v>6.71</v>
      </c>
      <c r="BD41" t="s">
        <v>6</v>
      </c>
      <c r="BE41" t="s">
        <v>6</v>
      </c>
      <c r="BF41" t="s">
        <v>6</v>
      </c>
      <c r="BG41" t="s">
        <v>6</v>
      </c>
      <c r="BH41">
        <v>3</v>
      </c>
      <c r="BI41">
        <v>1</v>
      </c>
      <c r="BJ41" t="s">
        <v>6</v>
      </c>
      <c r="BM41">
        <v>65001</v>
      </c>
      <c r="BN41">
        <v>0</v>
      </c>
      <c r="BO41" t="s">
        <v>6</v>
      </c>
      <c r="BP41">
        <v>0</v>
      </c>
      <c r="BQ41">
        <v>6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74</v>
      </c>
      <c r="CA41">
        <v>50</v>
      </c>
      <c r="CE41">
        <v>0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 t="shared" si="37"/>
        <v>0</v>
      </c>
      <c r="CQ41">
        <f t="shared" si="38"/>
        <v>0</v>
      </c>
      <c r="CR41">
        <f t="shared" si="39"/>
        <v>0</v>
      </c>
      <c r="CS41">
        <f t="shared" si="40"/>
        <v>0</v>
      </c>
      <c r="CT41">
        <f t="shared" si="41"/>
        <v>0</v>
      </c>
      <c r="CU41">
        <f t="shared" si="42"/>
        <v>0</v>
      </c>
      <c r="CV41">
        <f t="shared" si="43"/>
        <v>0</v>
      </c>
      <c r="CW41">
        <f t="shared" si="44"/>
        <v>0</v>
      </c>
      <c r="CX41">
        <f t="shared" si="45"/>
        <v>0</v>
      </c>
      <c r="CY41">
        <f t="shared" si="46"/>
        <v>0</v>
      </c>
      <c r="CZ41">
        <f t="shared" si="47"/>
        <v>0</v>
      </c>
      <c r="DC41" t="s">
        <v>6</v>
      </c>
      <c r="DD41" t="s">
        <v>6</v>
      </c>
      <c r="DE41" t="s">
        <v>6</v>
      </c>
      <c r="DF41" t="s">
        <v>6</v>
      </c>
      <c r="DG41" t="s">
        <v>6</v>
      </c>
      <c r="DH41" t="s">
        <v>6</v>
      </c>
      <c r="DI41" t="s">
        <v>6</v>
      </c>
      <c r="DJ41" t="s">
        <v>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1009</v>
      </c>
      <c r="DV41" t="s">
        <v>104</v>
      </c>
      <c r="DW41" t="s">
        <v>104</v>
      </c>
      <c r="DX41">
        <v>1000</v>
      </c>
      <c r="EE41">
        <v>16510574</v>
      </c>
      <c r="EF41">
        <v>6</v>
      </c>
      <c r="EG41" t="s">
        <v>30</v>
      </c>
      <c r="EH41">
        <v>0</v>
      </c>
      <c r="EI41" t="s">
        <v>6</v>
      </c>
      <c r="EJ41">
        <v>1</v>
      </c>
      <c r="EK41">
        <v>65001</v>
      </c>
      <c r="EL41" t="s">
        <v>99</v>
      </c>
      <c r="EM41" t="s">
        <v>100</v>
      </c>
      <c r="EO41" t="s">
        <v>6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8"/>
        <v>0</v>
      </c>
      <c r="FS41">
        <v>0</v>
      </c>
      <c r="FX41">
        <v>74</v>
      </c>
      <c r="FY41">
        <v>50</v>
      </c>
      <c r="GA41" t="s">
        <v>6</v>
      </c>
      <c r="GD41">
        <v>0</v>
      </c>
      <c r="GF41">
        <v>-66286256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9"/>
        <v>0</v>
      </c>
      <c r="GM41">
        <f t="shared" si="50"/>
        <v>0</v>
      </c>
      <c r="GN41">
        <f t="shared" si="51"/>
        <v>0</v>
      </c>
      <c r="GO41">
        <f t="shared" si="52"/>
        <v>0</v>
      </c>
      <c r="GP41">
        <f t="shared" si="53"/>
        <v>0</v>
      </c>
      <c r="GR41">
        <v>0</v>
      </c>
      <c r="GS41">
        <v>3</v>
      </c>
      <c r="GT41">
        <v>0</v>
      </c>
      <c r="GU41" t="s">
        <v>6</v>
      </c>
      <c r="GV41">
        <f t="shared" si="54"/>
        <v>0</v>
      </c>
      <c r="GW41">
        <v>1</v>
      </c>
      <c r="GX41">
        <f t="shared" si="55"/>
        <v>0</v>
      </c>
      <c r="HA41">
        <v>0</v>
      </c>
      <c r="HB41">
        <v>0</v>
      </c>
      <c r="HC41">
        <f t="shared" si="56"/>
        <v>0</v>
      </c>
      <c r="IK41">
        <v>0</v>
      </c>
    </row>
    <row r="42" spans="1:245" x14ac:dyDescent="0.2">
      <c r="A42">
        <v>17</v>
      </c>
      <c r="B42">
        <v>1</v>
      </c>
      <c r="C42">
        <f>ROW(SmtRes!A57)</f>
        <v>57</v>
      </c>
      <c r="D42">
        <f>ROW(EtalonRes!A61)</f>
        <v>61</v>
      </c>
      <c r="E42" t="s">
        <v>105</v>
      </c>
      <c r="F42" t="s">
        <v>106</v>
      </c>
      <c r="G42" t="s">
        <v>107</v>
      </c>
      <c r="H42" t="s">
        <v>28</v>
      </c>
      <c r="I42">
        <f>ROUND(3/100,9)</f>
        <v>0.03</v>
      </c>
      <c r="J42">
        <v>0</v>
      </c>
      <c r="O42">
        <f t="shared" si="21"/>
        <v>89.73</v>
      </c>
      <c r="P42">
        <f t="shared" si="22"/>
        <v>0</v>
      </c>
      <c r="Q42">
        <f t="shared" si="23"/>
        <v>1.64</v>
      </c>
      <c r="R42">
        <f t="shared" si="24"/>
        <v>0.71</v>
      </c>
      <c r="S42">
        <f t="shared" si="25"/>
        <v>88.09</v>
      </c>
      <c r="T42">
        <f t="shared" si="26"/>
        <v>0</v>
      </c>
      <c r="U42">
        <f t="shared" si="27"/>
        <v>1.5389999999999999</v>
      </c>
      <c r="V42">
        <f t="shared" si="28"/>
        <v>7.7999999999999996E-3</v>
      </c>
      <c r="W42">
        <f t="shared" si="29"/>
        <v>0</v>
      </c>
      <c r="X42">
        <f t="shared" si="30"/>
        <v>65.709999999999994</v>
      </c>
      <c r="Y42">
        <f t="shared" si="31"/>
        <v>44.4</v>
      </c>
      <c r="AA42">
        <v>16808636</v>
      </c>
      <c r="AB42">
        <f t="shared" si="32"/>
        <v>445.72</v>
      </c>
      <c r="AC42">
        <f>ROUND((ES42),2)</f>
        <v>0</v>
      </c>
      <c r="AD42">
        <f t="shared" si="59"/>
        <v>8.1300000000000008</v>
      </c>
      <c r="AE42">
        <f t="shared" si="60"/>
        <v>3.51</v>
      </c>
      <c r="AF42">
        <f t="shared" si="60"/>
        <v>437.59</v>
      </c>
      <c r="AG42">
        <f t="shared" si="34"/>
        <v>0</v>
      </c>
      <c r="AH42">
        <f t="shared" si="61"/>
        <v>51.3</v>
      </c>
      <c r="AI42">
        <f t="shared" si="61"/>
        <v>0.26</v>
      </c>
      <c r="AJ42">
        <f t="shared" si="36"/>
        <v>0</v>
      </c>
      <c r="AK42">
        <v>445.72</v>
      </c>
      <c r="AL42">
        <v>0</v>
      </c>
      <c r="AM42">
        <v>8.1300000000000008</v>
      </c>
      <c r="AN42">
        <v>3.51</v>
      </c>
      <c r="AO42">
        <v>437.59</v>
      </c>
      <c r="AP42">
        <v>0</v>
      </c>
      <c r="AQ42">
        <v>51.3</v>
      </c>
      <c r="AR42">
        <v>0.26</v>
      </c>
      <c r="AS42">
        <v>0</v>
      </c>
      <c r="AT42">
        <v>74</v>
      </c>
      <c r="AU42">
        <v>50</v>
      </c>
      <c r="AV42">
        <v>1</v>
      </c>
      <c r="AW42">
        <v>1</v>
      </c>
      <c r="AZ42">
        <v>6.71</v>
      </c>
      <c r="BA42">
        <v>6.71</v>
      </c>
      <c r="BB42">
        <v>6.71</v>
      </c>
      <c r="BC42">
        <v>6.71</v>
      </c>
      <c r="BD42" t="s">
        <v>6</v>
      </c>
      <c r="BE42" t="s">
        <v>6</v>
      </c>
      <c r="BF42" t="s">
        <v>6</v>
      </c>
      <c r="BG42" t="s">
        <v>6</v>
      </c>
      <c r="BH42">
        <v>0</v>
      </c>
      <c r="BI42">
        <v>1</v>
      </c>
      <c r="BJ42" t="s">
        <v>108</v>
      </c>
      <c r="BM42">
        <v>65001</v>
      </c>
      <c r="BN42">
        <v>0</v>
      </c>
      <c r="BO42" t="s">
        <v>6</v>
      </c>
      <c r="BP42">
        <v>0</v>
      </c>
      <c r="BQ42">
        <v>6</v>
      </c>
      <c r="BR42">
        <v>0</v>
      </c>
      <c r="BS42">
        <v>6.71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6</v>
      </c>
      <c r="BZ42">
        <v>74</v>
      </c>
      <c r="CA42">
        <v>50</v>
      </c>
      <c r="CE42">
        <v>0</v>
      </c>
      <c r="CF42">
        <v>0</v>
      </c>
      <c r="CG42">
        <v>0</v>
      </c>
      <c r="CM42">
        <v>0</v>
      </c>
      <c r="CN42" t="s">
        <v>6</v>
      </c>
      <c r="CO42">
        <v>0</v>
      </c>
      <c r="CP42">
        <f t="shared" si="37"/>
        <v>89.73</v>
      </c>
      <c r="CQ42">
        <f t="shared" si="38"/>
        <v>0</v>
      </c>
      <c r="CR42">
        <f t="shared" si="39"/>
        <v>54.552300000000002</v>
      </c>
      <c r="CS42">
        <f t="shared" si="40"/>
        <v>23.552099999999999</v>
      </c>
      <c r="CT42">
        <f t="shared" si="41"/>
        <v>2936.2288999999996</v>
      </c>
      <c r="CU42">
        <f t="shared" si="42"/>
        <v>0</v>
      </c>
      <c r="CV42">
        <f t="shared" si="43"/>
        <v>51.3</v>
      </c>
      <c r="CW42">
        <f t="shared" si="44"/>
        <v>0.26</v>
      </c>
      <c r="CX42">
        <f t="shared" si="45"/>
        <v>0</v>
      </c>
      <c r="CY42">
        <f t="shared" si="46"/>
        <v>65.712000000000003</v>
      </c>
      <c r="CZ42">
        <f t="shared" si="47"/>
        <v>44.4</v>
      </c>
      <c r="DC42" t="s">
        <v>6</v>
      </c>
      <c r="DD42" t="s">
        <v>6</v>
      </c>
      <c r="DE42" t="s">
        <v>6</v>
      </c>
      <c r="DF42" t="s">
        <v>6</v>
      </c>
      <c r="DG42" t="s">
        <v>6</v>
      </c>
      <c r="DH42" t="s">
        <v>6</v>
      </c>
      <c r="DI42" t="s">
        <v>6</v>
      </c>
      <c r="DJ42" t="s">
        <v>6</v>
      </c>
      <c r="DK42" t="s">
        <v>6</v>
      </c>
      <c r="DL42" t="s">
        <v>6</v>
      </c>
      <c r="DM42" t="s">
        <v>6</v>
      </c>
      <c r="DN42">
        <v>0</v>
      </c>
      <c r="DO42">
        <v>0</v>
      </c>
      <c r="DP42">
        <v>1</v>
      </c>
      <c r="DQ42">
        <v>1</v>
      </c>
      <c r="DU42">
        <v>1013</v>
      </c>
      <c r="DV42" t="s">
        <v>28</v>
      </c>
      <c r="DW42" t="s">
        <v>28</v>
      </c>
      <c r="DX42">
        <v>1</v>
      </c>
      <c r="EE42">
        <v>16510574</v>
      </c>
      <c r="EF42">
        <v>6</v>
      </c>
      <c r="EG42" t="s">
        <v>30</v>
      </c>
      <c r="EH42">
        <v>0</v>
      </c>
      <c r="EI42" t="s">
        <v>6</v>
      </c>
      <c r="EJ42">
        <v>1</v>
      </c>
      <c r="EK42">
        <v>65001</v>
      </c>
      <c r="EL42" t="s">
        <v>99</v>
      </c>
      <c r="EM42" t="s">
        <v>100</v>
      </c>
      <c r="EO42" t="s">
        <v>6</v>
      </c>
      <c r="EQ42">
        <v>0</v>
      </c>
      <c r="ER42">
        <v>445.72</v>
      </c>
      <c r="ES42">
        <v>0</v>
      </c>
      <c r="ET42">
        <v>8.1300000000000008</v>
      </c>
      <c r="EU42">
        <v>3.51</v>
      </c>
      <c r="EV42">
        <v>437.59</v>
      </c>
      <c r="EW42">
        <v>51.3</v>
      </c>
      <c r="EX42">
        <v>0.26</v>
      </c>
      <c r="EY42">
        <v>0</v>
      </c>
      <c r="FQ42">
        <v>0</v>
      </c>
      <c r="FR42">
        <f t="shared" si="48"/>
        <v>0</v>
      </c>
      <c r="FS42">
        <v>0</v>
      </c>
      <c r="FX42">
        <v>74</v>
      </c>
      <c r="FY42">
        <v>50</v>
      </c>
      <c r="GA42" t="s">
        <v>6</v>
      </c>
      <c r="GD42">
        <v>0</v>
      </c>
      <c r="GF42">
        <v>-869396583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49"/>
        <v>0</v>
      </c>
      <c r="GM42">
        <f t="shared" si="50"/>
        <v>199.84</v>
      </c>
      <c r="GN42">
        <f t="shared" si="51"/>
        <v>199.84</v>
      </c>
      <c r="GO42">
        <f t="shared" si="52"/>
        <v>0</v>
      </c>
      <c r="GP42">
        <f t="shared" si="53"/>
        <v>0</v>
      </c>
      <c r="GR42">
        <v>0</v>
      </c>
      <c r="GS42">
        <v>3</v>
      </c>
      <c r="GT42">
        <v>0</v>
      </c>
      <c r="GU42" t="s">
        <v>6</v>
      </c>
      <c r="GV42">
        <f t="shared" si="54"/>
        <v>0</v>
      </c>
      <c r="GW42">
        <v>1</v>
      </c>
      <c r="GX42">
        <f t="shared" si="55"/>
        <v>0</v>
      </c>
      <c r="HA42">
        <v>0</v>
      </c>
      <c r="HB42">
        <v>0</v>
      </c>
      <c r="HC42">
        <f t="shared" si="56"/>
        <v>0</v>
      </c>
      <c r="IK42">
        <v>0</v>
      </c>
    </row>
    <row r="43" spans="1:245" x14ac:dyDescent="0.2">
      <c r="A43">
        <v>17</v>
      </c>
      <c r="B43">
        <v>1</v>
      </c>
      <c r="C43">
        <f>ROW(SmtRes!A63)</f>
        <v>63</v>
      </c>
      <c r="D43">
        <f>ROW(EtalonRes!A68)</f>
        <v>68</v>
      </c>
      <c r="E43" t="s">
        <v>109</v>
      </c>
      <c r="F43" t="s">
        <v>110</v>
      </c>
      <c r="G43" t="s">
        <v>111</v>
      </c>
      <c r="H43" t="s">
        <v>40</v>
      </c>
      <c r="I43">
        <f>ROUND(6/100,9)</f>
        <v>0.06</v>
      </c>
      <c r="J43">
        <v>0</v>
      </c>
      <c r="O43">
        <f t="shared" si="21"/>
        <v>118.81</v>
      </c>
      <c r="P43">
        <f t="shared" si="22"/>
        <v>0</v>
      </c>
      <c r="Q43">
        <f t="shared" si="23"/>
        <v>2.85</v>
      </c>
      <c r="R43">
        <f t="shared" si="24"/>
        <v>0.54</v>
      </c>
      <c r="S43">
        <f t="shared" si="25"/>
        <v>115.96</v>
      </c>
      <c r="T43">
        <f t="shared" si="26"/>
        <v>0</v>
      </c>
      <c r="U43">
        <f t="shared" si="27"/>
        <v>2.0795999999999997</v>
      </c>
      <c r="V43">
        <f t="shared" si="28"/>
        <v>6.0000000000000001E-3</v>
      </c>
      <c r="W43">
        <f t="shared" si="29"/>
        <v>0</v>
      </c>
      <c r="X43">
        <f t="shared" si="30"/>
        <v>86.21</v>
      </c>
      <c r="Y43">
        <f t="shared" si="31"/>
        <v>58.25</v>
      </c>
      <c r="AA43">
        <v>16808636</v>
      </c>
      <c r="AB43">
        <f t="shared" si="32"/>
        <v>295.11</v>
      </c>
      <c r="AC43">
        <f>ROUND(((ES43*0)),2)</f>
        <v>0</v>
      </c>
      <c r="AD43">
        <f t="shared" si="59"/>
        <v>7.09</v>
      </c>
      <c r="AE43">
        <f t="shared" si="60"/>
        <v>1.35</v>
      </c>
      <c r="AF43">
        <f t="shared" si="60"/>
        <v>288.02</v>
      </c>
      <c r="AG43">
        <f t="shared" si="34"/>
        <v>0</v>
      </c>
      <c r="AH43">
        <f t="shared" si="61"/>
        <v>34.659999999999997</v>
      </c>
      <c r="AI43">
        <f t="shared" si="61"/>
        <v>0.1</v>
      </c>
      <c r="AJ43">
        <f t="shared" si="36"/>
        <v>0</v>
      </c>
      <c r="AK43">
        <v>328.71</v>
      </c>
      <c r="AL43">
        <v>33.6</v>
      </c>
      <c r="AM43">
        <v>7.09</v>
      </c>
      <c r="AN43">
        <v>1.35</v>
      </c>
      <c r="AO43">
        <v>288.02</v>
      </c>
      <c r="AP43">
        <v>0</v>
      </c>
      <c r="AQ43">
        <v>34.659999999999997</v>
      </c>
      <c r="AR43">
        <v>0.1</v>
      </c>
      <c r="AS43">
        <v>0</v>
      </c>
      <c r="AT43">
        <v>74</v>
      </c>
      <c r="AU43">
        <v>50</v>
      </c>
      <c r="AV43">
        <v>1</v>
      </c>
      <c r="AW43">
        <v>1</v>
      </c>
      <c r="AZ43">
        <v>6.71</v>
      </c>
      <c r="BA43">
        <v>6.71</v>
      </c>
      <c r="BB43">
        <v>6.71</v>
      </c>
      <c r="BC43">
        <v>6.71</v>
      </c>
      <c r="BD43" t="s">
        <v>6</v>
      </c>
      <c r="BE43" t="s">
        <v>6</v>
      </c>
      <c r="BF43" t="s">
        <v>6</v>
      </c>
      <c r="BG43" t="s">
        <v>6</v>
      </c>
      <c r="BH43">
        <v>0</v>
      </c>
      <c r="BI43">
        <v>1</v>
      </c>
      <c r="BJ43" t="s">
        <v>112</v>
      </c>
      <c r="BM43">
        <v>65001</v>
      </c>
      <c r="BN43">
        <v>0</v>
      </c>
      <c r="BO43" t="s">
        <v>6</v>
      </c>
      <c r="BP43">
        <v>0</v>
      </c>
      <c r="BQ43">
        <v>6</v>
      </c>
      <c r="BR43">
        <v>0</v>
      </c>
      <c r="BS43">
        <v>6.71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74</v>
      </c>
      <c r="CA43">
        <v>50</v>
      </c>
      <c r="CE43">
        <v>0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37"/>
        <v>118.80999999999999</v>
      </c>
      <c r="CQ43">
        <f t="shared" si="38"/>
        <v>0</v>
      </c>
      <c r="CR43">
        <f t="shared" si="39"/>
        <v>47.573900000000002</v>
      </c>
      <c r="CS43">
        <f t="shared" si="40"/>
        <v>9.0585000000000004</v>
      </c>
      <c r="CT43">
        <f t="shared" si="41"/>
        <v>1932.6141999999998</v>
      </c>
      <c r="CU43">
        <f t="shared" si="42"/>
        <v>0</v>
      </c>
      <c r="CV43">
        <f t="shared" si="43"/>
        <v>34.659999999999997</v>
      </c>
      <c r="CW43">
        <f t="shared" si="44"/>
        <v>0.1</v>
      </c>
      <c r="CX43">
        <f t="shared" si="45"/>
        <v>0</v>
      </c>
      <c r="CY43">
        <f t="shared" si="46"/>
        <v>86.21</v>
      </c>
      <c r="CZ43">
        <f t="shared" si="47"/>
        <v>58.25</v>
      </c>
      <c r="DC43" t="s">
        <v>6</v>
      </c>
      <c r="DD43" t="s">
        <v>113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1003</v>
      </c>
      <c r="DV43" t="s">
        <v>40</v>
      </c>
      <c r="DW43" t="s">
        <v>40</v>
      </c>
      <c r="DX43">
        <v>100</v>
      </c>
      <c r="EE43">
        <v>16510574</v>
      </c>
      <c r="EF43">
        <v>6</v>
      </c>
      <c r="EG43" t="s">
        <v>30</v>
      </c>
      <c r="EH43">
        <v>0</v>
      </c>
      <c r="EI43" t="s">
        <v>6</v>
      </c>
      <c r="EJ43">
        <v>1</v>
      </c>
      <c r="EK43">
        <v>65001</v>
      </c>
      <c r="EL43" t="s">
        <v>99</v>
      </c>
      <c r="EM43" t="s">
        <v>100</v>
      </c>
      <c r="EO43" t="s">
        <v>6</v>
      </c>
      <c r="EQ43">
        <v>0</v>
      </c>
      <c r="ER43">
        <v>328.71</v>
      </c>
      <c r="ES43">
        <v>33.6</v>
      </c>
      <c r="ET43">
        <v>7.09</v>
      </c>
      <c r="EU43">
        <v>1.35</v>
      </c>
      <c r="EV43">
        <v>288.02</v>
      </c>
      <c r="EW43">
        <v>34.659999999999997</v>
      </c>
      <c r="EX43">
        <v>0.1</v>
      </c>
      <c r="EY43">
        <v>0</v>
      </c>
      <c r="FQ43">
        <v>0</v>
      </c>
      <c r="FR43">
        <f t="shared" si="48"/>
        <v>0</v>
      </c>
      <c r="FS43">
        <v>0</v>
      </c>
      <c r="FX43">
        <v>74</v>
      </c>
      <c r="FY43">
        <v>50</v>
      </c>
      <c r="GA43" t="s">
        <v>6</v>
      </c>
      <c r="GD43">
        <v>0</v>
      </c>
      <c r="GF43">
        <v>-319600296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49"/>
        <v>0</v>
      </c>
      <c r="GM43">
        <f t="shared" si="50"/>
        <v>263.27</v>
      </c>
      <c r="GN43">
        <f t="shared" si="51"/>
        <v>263.27</v>
      </c>
      <c r="GO43">
        <f t="shared" si="52"/>
        <v>0</v>
      </c>
      <c r="GP43">
        <f t="shared" si="53"/>
        <v>0</v>
      </c>
      <c r="GR43">
        <v>0</v>
      </c>
      <c r="GS43">
        <v>3</v>
      </c>
      <c r="GT43">
        <v>0</v>
      </c>
      <c r="GU43" t="s">
        <v>6</v>
      </c>
      <c r="GV43">
        <f t="shared" si="54"/>
        <v>0</v>
      </c>
      <c r="GW43">
        <v>1</v>
      </c>
      <c r="GX43">
        <f t="shared" si="55"/>
        <v>0</v>
      </c>
      <c r="HA43">
        <v>0</v>
      </c>
      <c r="HB43">
        <v>0</v>
      </c>
      <c r="HC43">
        <f t="shared" si="56"/>
        <v>0</v>
      </c>
      <c r="IK43">
        <v>0</v>
      </c>
    </row>
    <row r="44" spans="1:245" x14ac:dyDescent="0.2">
      <c r="A44">
        <v>17</v>
      </c>
      <c r="B44">
        <v>1</v>
      </c>
      <c r="C44">
        <f>ROW(SmtRes!A66)</f>
        <v>66</v>
      </c>
      <c r="D44">
        <f>ROW(EtalonRes!A72)</f>
        <v>72</v>
      </c>
      <c r="E44" t="s">
        <v>114</v>
      </c>
      <c r="F44" t="s">
        <v>115</v>
      </c>
      <c r="G44" t="s">
        <v>116</v>
      </c>
      <c r="H44" t="s">
        <v>18</v>
      </c>
      <c r="I44">
        <f>ROUND(16.3/100,9)</f>
        <v>0.16300000000000001</v>
      </c>
      <c r="J44">
        <v>0</v>
      </c>
      <c r="O44">
        <f t="shared" si="21"/>
        <v>701.08</v>
      </c>
      <c r="P44">
        <f t="shared" si="22"/>
        <v>0</v>
      </c>
      <c r="Q44">
        <f t="shared" si="23"/>
        <v>49.23</v>
      </c>
      <c r="R44">
        <f t="shared" si="24"/>
        <v>21.26</v>
      </c>
      <c r="S44">
        <f t="shared" si="25"/>
        <v>651.85</v>
      </c>
      <c r="T44">
        <f t="shared" si="26"/>
        <v>0</v>
      </c>
      <c r="U44">
        <f t="shared" si="27"/>
        <v>11.388810000000001</v>
      </c>
      <c r="V44">
        <f t="shared" si="28"/>
        <v>0.23472000000000001</v>
      </c>
      <c r="W44">
        <f t="shared" si="29"/>
        <v>0</v>
      </c>
      <c r="X44">
        <f t="shared" si="30"/>
        <v>538.49</v>
      </c>
      <c r="Y44">
        <f t="shared" si="31"/>
        <v>457.71</v>
      </c>
      <c r="AA44">
        <v>16808636</v>
      </c>
      <c r="AB44">
        <f t="shared" si="32"/>
        <v>641</v>
      </c>
      <c r="AC44">
        <f>ROUND((ES44),2)</f>
        <v>0</v>
      </c>
      <c r="AD44">
        <f t="shared" si="59"/>
        <v>45.01</v>
      </c>
      <c r="AE44">
        <f t="shared" si="60"/>
        <v>19.440000000000001</v>
      </c>
      <c r="AF44">
        <f t="shared" si="60"/>
        <v>595.99</v>
      </c>
      <c r="AG44">
        <f t="shared" si="34"/>
        <v>0</v>
      </c>
      <c r="AH44">
        <f t="shared" si="61"/>
        <v>69.87</v>
      </c>
      <c r="AI44">
        <f t="shared" si="61"/>
        <v>1.44</v>
      </c>
      <c r="AJ44">
        <f t="shared" si="36"/>
        <v>0</v>
      </c>
      <c r="AK44">
        <v>641</v>
      </c>
      <c r="AL44">
        <v>0</v>
      </c>
      <c r="AM44">
        <v>45.01</v>
      </c>
      <c r="AN44">
        <v>19.440000000000001</v>
      </c>
      <c r="AO44">
        <v>595.99</v>
      </c>
      <c r="AP44">
        <v>0</v>
      </c>
      <c r="AQ44">
        <v>69.87</v>
      </c>
      <c r="AR44">
        <v>1.44</v>
      </c>
      <c r="AS44">
        <v>0</v>
      </c>
      <c r="AT44">
        <v>80</v>
      </c>
      <c r="AU44">
        <v>68</v>
      </c>
      <c r="AV44">
        <v>1</v>
      </c>
      <c r="AW44">
        <v>1</v>
      </c>
      <c r="AZ44">
        <v>6.71</v>
      </c>
      <c r="BA44">
        <v>6.71</v>
      </c>
      <c r="BB44">
        <v>6.71</v>
      </c>
      <c r="BC44">
        <v>6.71</v>
      </c>
      <c r="BD44" t="s">
        <v>6</v>
      </c>
      <c r="BE44" t="s">
        <v>6</v>
      </c>
      <c r="BF44" t="s">
        <v>6</v>
      </c>
      <c r="BG44" t="s">
        <v>6</v>
      </c>
      <c r="BH44">
        <v>0</v>
      </c>
      <c r="BI44">
        <v>1</v>
      </c>
      <c r="BJ44" t="s">
        <v>117</v>
      </c>
      <c r="BM44">
        <v>57001</v>
      </c>
      <c r="BN44">
        <v>0</v>
      </c>
      <c r="BO44" t="s">
        <v>6</v>
      </c>
      <c r="BP44">
        <v>0</v>
      </c>
      <c r="BQ44">
        <v>6</v>
      </c>
      <c r="BR44">
        <v>0</v>
      </c>
      <c r="BS44">
        <v>6.71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6</v>
      </c>
      <c r="BZ44">
        <v>80</v>
      </c>
      <c r="CA44">
        <v>68</v>
      </c>
      <c r="CE44">
        <v>0</v>
      </c>
      <c r="CF44">
        <v>0</v>
      </c>
      <c r="CG44">
        <v>0</v>
      </c>
      <c r="CM44">
        <v>0</v>
      </c>
      <c r="CN44" t="s">
        <v>6</v>
      </c>
      <c r="CO44">
        <v>0</v>
      </c>
      <c r="CP44">
        <f t="shared" si="37"/>
        <v>701.08</v>
      </c>
      <c r="CQ44">
        <f t="shared" si="38"/>
        <v>0</v>
      </c>
      <c r="CR44">
        <f t="shared" si="39"/>
        <v>302.01709999999997</v>
      </c>
      <c r="CS44">
        <f t="shared" si="40"/>
        <v>130.44240000000002</v>
      </c>
      <c r="CT44">
        <f t="shared" si="41"/>
        <v>3999.0929000000001</v>
      </c>
      <c r="CU44">
        <f t="shared" si="42"/>
        <v>0</v>
      </c>
      <c r="CV44">
        <f t="shared" si="43"/>
        <v>69.87</v>
      </c>
      <c r="CW44">
        <f t="shared" si="44"/>
        <v>1.44</v>
      </c>
      <c r="CX44">
        <f t="shared" si="45"/>
        <v>0</v>
      </c>
      <c r="CY44">
        <f t="shared" si="46"/>
        <v>538.48800000000006</v>
      </c>
      <c r="CZ44">
        <f t="shared" si="47"/>
        <v>457.71480000000003</v>
      </c>
      <c r="DC44" t="s">
        <v>6</v>
      </c>
      <c r="DD44" t="s">
        <v>6</v>
      </c>
      <c r="DE44" t="s">
        <v>6</v>
      </c>
      <c r="DF44" t="s">
        <v>6</v>
      </c>
      <c r="DG44" t="s">
        <v>6</v>
      </c>
      <c r="DH44" t="s">
        <v>6</v>
      </c>
      <c r="DI44" t="s">
        <v>6</v>
      </c>
      <c r="DJ44" t="s">
        <v>6</v>
      </c>
      <c r="DK44" t="s">
        <v>6</v>
      </c>
      <c r="DL44" t="s">
        <v>6</v>
      </c>
      <c r="DM44" t="s">
        <v>6</v>
      </c>
      <c r="DN44">
        <v>0</v>
      </c>
      <c r="DO44">
        <v>0</v>
      </c>
      <c r="DP44">
        <v>1</v>
      </c>
      <c r="DQ44">
        <v>1</v>
      </c>
      <c r="DU44">
        <v>1005</v>
      </c>
      <c r="DV44" t="s">
        <v>18</v>
      </c>
      <c r="DW44" t="s">
        <v>18</v>
      </c>
      <c r="DX44">
        <v>100</v>
      </c>
      <c r="EE44">
        <v>16510566</v>
      </c>
      <c r="EF44">
        <v>6</v>
      </c>
      <c r="EG44" t="s">
        <v>30</v>
      </c>
      <c r="EH44">
        <v>0</v>
      </c>
      <c r="EI44" t="s">
        <v>6</v>
      </c>
      <c r="EJ44">
        <v>1</v>
      </c>
      <c r="EK44">
        <v>57001</v>
      </c>
      <c r="EL44" t="s">
        <v>75</v>
      </c>
      <c r="EM44" t="s">
        <v>76</v>
      </c>
      <c r="EO44" t="s">
        <v>6</v>
      </c>
      <c r="EQ44">
        <v>0</v>
      </c>
      <c r="ER44">
        <v>641</v>
      </c>
      <c r="ES44">
        <v>0</v>
      </c>
      <c r="ET44">
        <v>45.01</v>
      </c>
      <c r="EU44">
        <v>19.440000000000001</v>
      </c>
      <c r="EV44">
        <v>595.99</v>
      </c>
      <c r="EW44">
        <v>69.87</v>
      </c>
      <c r="EX44">
        <v>1.44</v>
      </c>
      <c r="EY44">
        <v>0</v>
      </c>
      <c r="FQ44">
        <v>0</v>
      </c>
      <c r="FR44">
        <f t="shared" si="48"/>
        <v>0</v>
      </c>
      <c r="FS44">
        <v>0</v>
      </c>
      <c r="FX44">
        <v>80</v>
      </c>
      <c r="FY44">
        <v>68</v>
      </c>
      <c r="GA44" t="s">
        <v>6</v>
      </c>
      <c r="GD44">
        <v>0</v>
      </c>
      <c r="GF44">
        <v>-1405612292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49"/>
        <v>0</v>
      </c>
      <c r="GM44">
        <f t="shared" si="50"/>
        <v>1697.28</v>
      </c>
      <c r="GN44">
        <f t="shared" si="51"/>
        <v>1697.28</v>
      </c>
      <c r="GO44">
        <f t="shared" si="52"/>
        <v>0</v>
      </c>
      <c r="GP44">
        <f t="shared" si="53"/>
        <v>0</v>
      </c>
      <c r="GR44">
        <v>0</v>
      </c>
      <c r="GS44">
        <v>3</v>
      </c>
      <c r="GT44">
        <v>0</v>
      </c>
      <c r="GU44" t="s">
        <v>6</v>
      </c>
      <c r="GV44">
        <f t="shared" si="54"/>
        <v>0</v>
      </c>
      <c r="GW44">
        <v>1</v>
      </c>
      <c r="GX44">
        <f t="shared" si="55"/>
        <v>0</v>
      </c>
      <c r="HA44">
        <v>0</v>
      </c>
      <c r="HB44">
        <v>0</v>
      </c>
      <c r="HC44">
        <f t="shared" si="56"/>
        <v>0</v>
      </c>
      <c r="IK44">
        <v>0</v>
      </c>
    </row>
    <row r="46" spans="1:245" x14ac:dyDescent="0.2">
      <c r="A46" s="2">
        <v>51</v>
      </c>
      <c r="B46" s="2">
        <f>B24</f>
        <v>1</v>
      </c>
      <c r="C46" s="2">
        <f>A24</f>
        <v>4</v>
      </c>
      <c r="D46" s="2">
        <f>ROW(A24)</f>
        <v>24</v>
      </c>
      <c r="E46" s="2"/>
      <c r="F46" s="2" t="str">
        <f>IF(F24&lt;&gt;"",F24,"")</f>
        <v>Новый раздел</v>
      </c>
      <c r="G46" s="2" t="str">
        <f>IF(G24&lt;&gt;"",G24,"")</f>
        <v>Демонтаж</v>
      </c>
      <c r="H46" s="2">
        <v>0</v>
      </c>
      <c r="I46" s="2"/>
      <c r="J46" s="2"/>
      <c r="K46" s="2"/>
      <c r="L46" s="2"/>
      <c r="M46" s="2"/>
      <c r="N46" s="2"/>
      <c r="O46" s="2">
        <f t="shared" ref="O46:T46" si="62">ROUND(AB46,2)</f>
        <v>10591.82</v>
      </c>
      <c r="P46" s="2">
        <f t="shared" si="62"/>
        <v>0</v>
      </c>
      <c r="Q46" s="2">
        <f t="shared" si="62"/>
        <v>746.92</v>
      </c>
      <c r="R46" s="2">
        <f t="shared" si="62"/>
        <v>276.14</v>
      </c>
      <c r="S46" s="2">
        <f t="shared" si="62"/>
        <v>9844.9</v>
      </c>
      <c r="T46" s="2">
        <f t="shared" si="62"/>
        <v>0</v>
      </c>
      <c r="U46" s="2">
        <f>AH46</f>
        <v>181.258669</v>
      </c>
      <c r="V46" s="2">
        <f>AI46</f>
        <v>3.0557579999999995</v>
      </c>
      <c r="W46" s="2">
        <f>ROUND(AJ46,2)</f>
        <v>0</v>
      </c>
      <c r="X46" s="2">
        <f>ROUND(AK46,2)</f>
        <v>9277.8799999999992</v>
      </c>
      <c r="Y46" s="2">
        <f>ROUND(AL46,2)</f>
        <v>6547.59</v>
      </c>
      <c r="Z46" s="2"/>
      <c r="AA46" s="2"/>
      <c r="AB46" s="2">
        <f>ROUND(SUMIF(AA28:AA44,"=16808636",O28:O44),2)</f>
        <v>10591.82</v>
      </c>
      <c r="AC46" s="2">
        <f>ROUND(SUMIF(AA28:AA44,"=16808636",P28:P44),2)</f>
        <v>0</v>
      </c>
      <c r="AD46" s="2">
        <f>ROUND(SUMIF(AA28:AA44,"=16808636",Q28:Q44),2)</f>
        <v>746.92</v>
      </c>
      <c r="AE46" s="2">
        <f>ROUND(SUMIF(AA28:AA44,"=16808636",R28:R44),2)</f>
        <v>276.14</v>
      </c>
      <c r="AF46" s="2">
        <f>ROUND(SUMIF(AA28:AA44,"=16808636",S28:S44),2)</f>
        <v>9844.9</v>
      </c>
      <c r="AG46" s="2">
        <f>ROUND(SUMIF(AA28:AA44,"=16808636",T28:T44),2)</f>
        <v>0</v>
      </c>
      <c r="AH46" s="2">
        <f>SUMIF(AA28:AA44,"=16808636",U28:U44)</f>
        <v>181.258669</v>
      </c>
      <c r="AI46" s="2">
        <f>SUMIF(AA28:AA44,"=16808636",V28:V44)</f>
        <v>3.0557579999999995</v>
      </c>
      <c r="AJ46" s="2">
        <f>ROUND(SUMIF(AA28:AA44,"=16808636",W28:W44),2)</f>
        <v>0</v>
      </c>
      <c r="AK46" s="2">
        <f>ROUND(SUMIF(AA28:AA44,"=16808636",X28:X44),2)</f>
        <v>9277.8799999999992</v>
      </c>
      <c r="AL46" s="2">
        <f>ROUND(SUMIF(AA28:AA44,"=16808636",Y28:Y44),2)</f>
        <v>6547.59</v>
      </c>
      <c r="AM46" s="2"/>
      <c r="AN46" s="2"/>
      <c r="AO46" s="2">
        <f t="shared" ref="AO46:BC46" si="63">ROUND(BX46,2)</f>
        <v>0</v>
      </c>
      <c r="AP46" s="2">
        <f t="shared" si="63"/>
        <v>0</v>
      </c>
      <c r="AQ46" s="2">
        <f t="shared" si="63"/>
        <v>0</v>
      </c>
      <c r="AR46" s="2">
        <f t="shared" si="63"/>
        <v>26417.29</v>
      </c>
      <c r="AS46" s="2">
        <f t="shared" si="63"/>
        <v>23352.720000000001</v>
      </c>
      <c r="AT46" s="2">
        <f t="shared" si="63"/>
        <v>3064.57</v>
      </c>
      <c r="AU46" s="2">
        <f t="shared" si="63"/>
        <v>0</v>
      </c>
      <c r="AV46" s="2">
        <f t="shared" si="63"/>
        <v>0</v>
      </c>
      <c r="AW46" s="2">
        <f t="shared" si="63"/>
        <v>0</v>
      </c>
      <c r="AX46" s="2">
        <f t="shared" si="63"/>
        <v>0</v>
      </c>
      <c r="AY46" s="2">
        <f t="shared" si="63"/>
        <v>0</v>
      </c>
      <c r="AZ46" s="2">
        <f t="shared" si="63"/>
        <v>0</v>
      </c>
      <c r="BA46" s="2">
        <f t="shared" si="63"/>
        <v>0</v>
      </c>
      <c r="BB46" s="2">
        <f t="shared" si="63"/>
        <v>0</v>
      </c>
      <c r="BC46" s="2">
        <f t="shared" si="63"/>
        <v>0</v>
      </c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>
        <f>ROUND(SUMIF(AA28:AA44,"=16808636",FQ28:FQ44),2)</f>
        <v>0</v>
      </c>
      <c r="BY46" s="2">
        <f>ROUND(SUMIF(AA28:AA44,"=16808636",FR28:FR44),2)</f>
        <v>0</v>
      </c>
      <c r="BZ46" s="2">
        <f>ROUND(SUMIF(AA28:AA44,"=16808636",GL28:GL44),2)</f>
        <v>0</v>
      </c>
      <c r="CA46" s="2">
        <f>ROUND(SUMIF(AA28:AA44,"=16808636",GM28:GM44),2)</f>
        <v>26417.29</v>
      </c>
      <c r="CB46" s="2">
        <f>ROUND(SUMIF(AA28:AA44,"=16808636",GN28:GN44),2)</f>
        <v>23352.720000000001</v>
      </c>
      <c r="CC46" s="2">
        <f>ROUND(SUMIF(AA28:AA44,"=16808636",GO28:GO44),2)</f>
        <v>3064.57</v>
      </c>
      <c r="CD46" s="2">
        <f>ROUND(SUMIF(AA28:AA44,"=16808636",GP28:GP44),2)</f>
        <v>0</v>
      </c>
      <c r="CE46" s="2">
        <f>AC46-BX46</f>
        <v>0</v>
      </c>
      <c r="CF46" s="2">
        <f>AC46-BY46</f>
        <v>0</v>
      </c>
      <c r="CG46" s="2">
        <f>BX46-BZ46</f>
        <v>0</v>
      </c>
      <c r="CH46" s="2">
        <f>AC46-BX46-BY46+BZ46</f>
        <v>0</v>
      </c>
      <c r="CI46" s="2">
        <f>BY46-BZ46</f>
        <v>0</v>
      </c>
      <c r="CJ46" s="2">
        <f>ROUND(SUMIF(AA28:AA44,"=16808636",GX28:GX44),2)</f>
        <v>0</v>
      </c>
      <c r="CK46" s="2">
        <f>ROUND(SUMIF(AA28:AA44,"=16808636",GY28:GY44),2)</f>
        <v>0</v>
      </c>
      <c r="CL46" s="2">
        <f>ROUND(SUMIF(AA28:AA44,"=16808636",GZ28:GZ44),2)</f>
        <v>0</v>
      </c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>
        <v>0</v>
      </c>
    </row>
    <row r="48" spans="1:245" x14ac:dyDescent="0.2">
      <c r="A48" s="4">
        <v>50</v>
      </c>
      <c r="B48" s="4">
        <v>0</v>
      </c>
      <c r="C48" s="4">
        <v>0</v>
      </c>
      <c r="D48" s="4">
        <v>1</v>
      </c>
      <c r="E48" s="4">
        <v>201</v>
      </c>
      <c r="F48" s="4">
        <f>ROUND(Source!O46,O48)</f>
        <v>10591.82</v>
      </c>
      <c r="G48" s="4" t="s">
        <v>118</v>
      </c>
      <c r="H48" s="4" t="s">
        <v>119</v>
      </c>
      <c r="I48" s="4"/>
      <c r="J48" s="4"/>
      <c r="K48" s="4">
        <v>201</v>
      </c>
      <c r="L48" s="4">
        <v>1</v>
      </c>
      <c r="M48" s="4">
        <v>3</v>
      </c>
      <c r="N48" s="4" t="s">
        <v>6</v>
      </c>
      <c r="O48" s="4">
        <v>2</v>
      </c>
      <c r="P48" s="4"/>
      <c r="Q48" s="4"/>
      <c r="R48" s="4"/>
      <c r="S48" s="4"/>
      <c r="T48" s="4"/>
      <c r="U48" s="4"/>
      <c r="V48" s="4"/>
      <c r="W48" s="4"/>
    </row>
    <row r="49" spans="1:23" x14ac:dyDescent="0.2">
      <c r="A49" s="4">
        <v>50</v>
      </c>
      <c r="B49" s="4">
        <v>0</v>
      </c>
      <c r="C49" s="4">
        <v>0</v>
      </c>
      <c r="D49" s="4">
        <v>1</v>
      </c>
      <c r="E49" s="4">
        <v>202</v>
      </c>
      <c r="F49" s="4">
        <f>ROUND(Source!P46,O49)</f>
        <v>0</v>
      </c>
      <c r="G49" s="4" t="s">
        <v>120</v>
      </c>
      <c r="H49" s="4" t="s">
        <v>121</v>
      </c>
      <c r="I49" s="4"/>
      <c r="J49" s="4"/>
      <c r="K49" s="4">
        <v>202</v>
      </c>
      <c r="L49" s="4">
        <v>2</v>
      </c>
      <c r="M49" s="4">
        <v>3</v>
      </c>
      <c r="N49" s="4" t="s">
        <v>6</v>
      </c>
      <c r="O49" s="4">
        <v>2</v>
      </c>
      <c r="P49" s="4"/>
      <c r="Q49" s="4"/>
      <c r="R49" s="4"/>
      <c r="S49" s="4"/>
      <c r="T49" s="4"/>
      <c r="U49" s="4"/>
      <c r="V49" s="4"/>
      <c r="W49" s="4"/>
    </row>
    <row r="50" spans="1:23" x14ac:dyDescent="0.2">
      <c r="A50" s="4">
        <v>50</v>
      </c>
      <c r="B50" s="4">
        <v>0</v>
      </c>
      <c r="C50" s="4">
        <v>0</v>
      </c>
      <c r="D50" s="4">
        <v>1</v>
      </c>
      <c r="E50" s="4">
        <v>222</v>
      </c>
      <c r="F50" s="4">
        <f>ROUND(Source!AO46,O50)</f>
        <v>0</v>
      </c>
      <c r="G50" s="4" t="s">
        <v>122</v>
      </c>
      <c r="H50" s="4" t="s">
        <v>123</v>
      </c>
      <c r="I50" s="4"/>
      <c r="J50" s="4"/>
      <c r="K50" s="4">
        <v>222</v>
      </c>
      <c r="L50" s="4">
        <v>3</v>
      </c>
      <c r="M50" s="4">
        <v>3</v>
      </c>
      <c r="N50" s="4" t="s">
        <v>6</v>
      </c>
      <c r="O50" s="4">
        <v>2</v>
      </c>
      <c r="P50" s="4"/>
      <c r="Q50" s="4"/>
      <c r="R50" s="4"/>
      <c r="S50" s="4"/>
      <c r="T50" s="4"/>
      <c r="U50" s="4"/>
      <c r="V50" s="4"/>
      <c r="W50" s="4"/>
    </row>
    <row r="51" spans="1:23" x14ac:dyDescent="0.2">
      <c r="A51" s="4">
        <v>50</v>
      </c>
      <c r="B51" s="4">
        <v>0</v>
      </c>
      <c r="C51" s="4">
        <v>0</v>
      </c>
      <c r="D51" s="4">
        <v>1</v>
      </c>
      <c r="E51" s="4">
        <v>225</v>
      </c>
      <c r="F51" s="4">
        <f>ROUND(Source!AV46,O51)</f>
        <v>0</v>
      </c>
      <c r="G51" s="4" t="s">
        <v>124</v>
      </c>
      <c r="H51" s="4" t="s">
        <v>125</v>
      </c>
      <c r="I51" s="4"/>
      <c r="J51" s="4"/>
      <c r="K51" s="4">
        <v>225</v>
      </c>
      <c r="L51" s="4">
        <v>4</v>
      </c>
      <c r="M51" s="4">
        <v>3</v>
      </c>
      <c r="N51" s="4" t="s">
        <v>6</v>
      </c>
      <c r="O51" s="4">
        <v>2</v>
      </c>
      <c r="P51" s="4"/>
      <c r="Q51" s="4"/>
      <c r="R51" s="4"/>
      <c r="S51" s="4"/>
      <c r="T51" s="4"/>
      <c r="U51" s="4"/>
      <c r="V51" s="4"/>
      <c r="W51" s="4"/>
    </row>
    <row r="52" spans="1:23" x14ac:dyDescent="0.2">
      <c r="A52" s="4">
        <v>50</v>
      </c>
      <c r="B52" s="4">
        <v>0</v>
      </c>
      <c r="C52" s="4">
        <v>0</v>
      </c>
      <c r="D52" s="4">
        <v>1</v>
      </c>
      <c r="E52" s="4">
        <v>226</v>
      </c>
      <c r="F52" s="4">
        <f>ROUND(Source!AW46,O52)</f>
        <v>0</v>
      </c>
      <c r="G52" s="4" t="s">
        <v>126</v>
      </c>
      <c r="H52" s="4" t="s">
        <v>127</v>
      </c>
      <c r="I52" s="4"/>
      <c r="J52" s="4"/>
      <c r="K52" s="4">
        <v>226</v>
      </c>
      <c r="L52" s="4">
        <v>5</v>
      </c>
      <c r="M52" s="4">
        <v>3</v>
      </c>
      <c r="N52" s="4" t="s">
        <v>6</v>
      </c>
      <c r="O52" s="4">
        <v>2</v>
      </c>
      <c r="P52" s="4"/>
      <c r="Q52" s="4"/>
      <c r="R52" s="4"/>
      <c r="S52" s="4"/>
      <c r="T52" s="4"/>
      <c r="U52" s="4"/>
      <c r="V52" s="4"/>
      <c r="W52" s="4"/>
    </row>
    <row r="53" spans="1:23" x14ac:dyDescent="0.2">
      <c r="A53" s="4">
        <v>50</v>
      </c>
      <c r="B53" s="4">
        <v>0</v>
      </c>
      <c r="C53" s="4">
        <v>0</v>
      </c>
      <c r="D53" s="4">
        <v>1</v>
      </c>
      <c r="E53" s="4">
        <v>227</v>
      </c>
      <c r="F53" s="4">
        <f>ROUND(Source!AX46,O53)</f>
        <v>0</v>
      </c>
      <c r="G53" s="4" t="s">
        <v>128</v>
      </c>
      <c r="H53" s="4" t="s">
        <v>129</v>
      </c>
      <c r="I53" s="4"/>
      <c r="J53" s="4"/>
      <c r="K53" s="4">
        <v>227</v>
      </c>
      <c r="L53" s="4">
        <v>6</v>
      </c>
      <c r="M53" s="4">
        <v>3</v>
      </c>
      <c r="N53" s="4" t="s">
        <v>6</v>
      </c>
      <c r="O53" s="4">
        <v>2</v>
      </c>
      <c r="P53" s="4"/>
      <c r="Q53" s="4"/>
      <c r="R53" s="4"/>
      <c r="S53" s="4"/>
      <c r="T53" s="4"/>
      <c r="U53" s="4"/>
      <c r="V53" s="4"/>
      <c r="W53" s="4"/>
    </row>
    <row r="54" spans="1:23" x14ac:dyDescent="0.2">
      <c r="A54" s="4">
        <v>50</v>
      </c>
      <c r="B54" s="4">
        <v>0</v>
      </c>
      <c r="C54" s="4">
        <v>0</v>
      </c>
      <c r="D54" s="4">
        <v>1</v>
      </c>
      <c r="E54" s="4">
        <v>228</v>
      </c>
      <c r="F54" s="4">
        <f>ROUND(Source!AY46,O54)</f>
        <v>0</v>
      </c>
      <c r="G54" s="4" t="s">
        <v>130</v>
      </c>
      <c r="H54" s="4" t="s">
        <v>131</v>
      </c>
      <c r="I54" s="4"/>
      <c r="J54" s="4"/>
      <c r="K54" s="4">
        <v>228</v>
      </c>
      <c r="L54" s="4">
        <v>7</v>
      </c>
      <c r="M54" s="4">
        <v>3</v>
      </c>
      <c r="N54" s="4" t="s">
        <v>6</v>
      </c>
      <c r="O54" s="4">
        <v>2</v>
      </c>
      <c r="P54" s="4"/>
      <c r="Q54" s="4"/>
      <c r="R54" s="4"/>
      <c r="S54" s="4"/>
      <c r="T54" s="4"/>
      <c r="U54" s="4"/>
      <c r="V54" s="4"/>
      <c r="W54" s="4"/>
    </row>
    <row r="55" spans="1:23" x14ac:dyDescent="0.2">
      <c r="A55" s="4">
        <v>50</v>
      </c>
      <c r="B55" s="4">
        <v>0</v>
      </c>
      <c r="C55" s="4">
        <v>0</v>
      </c>
      <c r="D55" s="4">
        <v>1</v>
      </c>
      <c r="E55" s="4">
        <v>216</v>
      </c>
      <c r="F55" s="4">
        <f>ROUND(Source!AP46,O55)</f>
        <v>0</v>
      </c>
      <c r="G55" s="4" t="s">
        <v>132</v>
      </c>
      <c r="H55" s="4" t="s">
        <v>133</v>
      </c>
      <c r="I55" s="4"/>
      <c r="J55" s="4"/>
      <c r="K55" s="4">
        <v>216</v>
      </c>
      <c r="L55" s="4">
        <v>8</v>
      </c>
      <c r="M55" s="4">
        <v>3</v>
      </c>
      <c r="N55" s="4" t="s">
        <v>6</v>
      </c>
      <c r="O55" s="4">
        <v>2</v>
      </c>
      <c r="P55" s="4"/>
      <c r="Q55" s="4"/>
      <c r="R55" s="4"/>
      <c r="S55" s="4"/>
      <c r="T55" s="4"/>
      <c r="U55" s="4"/>
      <c r="V55" s="4"/>
      <c r="W55" s="4"/>
    </row>
    <row r="56" spans="1:23" x14ac:dyDescent="0.2">
      <c r="A56" s="4">
        <v>50</v>
      </c>
      <c r="B56" s="4">
        <v>0</v>
      </c>
      <c r="C56" s="4">
        <v>0</v>
      </c>
      <c r="D56" s="4">
        <v>1</v>
      </c>
      <c r="E56" s="4">
        <v>223</v>
      </c>
      <c r="F56" s="4">
        <f>ROUND(Source!AQ46,O56)</f>
        <v>0</v>
      </c>
      <c r="G56" s="4" t="s">
        <v>134</v>
      </c>
      <c r="H56" s="4" t="s">
        <v>135</v>
      </c>
      <c r="I56" s="4"/>
      <c r="J56" s="4"/>
      <c r="K56" s="4">
        <v>223</v>
      </c>
      <c r="L56" s="4">
        <v>9</v>
      </c>
      <c r="M56" s="4">
        <v>3</v>
      </c>
      <c r="N56" s="4" t="s">
        <v>6</v>
      </c>
      <c r="O56" s="4">
        <v>2</v>
      </c>
      <c r="P56" s="4"/>
      <c r="Q56" s="4"/>
      <c r="R56" s="4"/>
      <c r="S56" s="4"/>
      <c r="T56" s="4"/>
      <c r="U56" s="4"/>
      <c r="V56" s="4"/>
      <c r="W56" s="4"/>
    </row>
    <row r="57" spans="1:23" x14ac:dyDescent="0.2">
      <c r="A57" s="4">
        <v>50</v>
      </c>
      <c r="B57" s="4">
        <v>0</v>
      </c>
      <c r="C57" s="4">
        <v>0</v>
      </c>
      <c r="D57" s="4">
        <v>1</v>
      </c>
      <c r="E57" s="4">
        <v>229</v>
      </c>
      <c r="F57" s="4">
        <f>ROUND(Source!AZ46,O57)</f>
        <v>0</v>
      </c>
      <c r="G57" s="4" t="s">
        <v>136</v>
      </c>
      <c r="H57" s="4" t="s">
        <v>137</v>
      </c>
      <c r="I57" s="4"/>
      <c r="J57" s="4"/>
      <c r="K57" s="4">
        <v>229</v>
      </c>
      <c r="L57" s="4">
        <v>10</v>
      </c>
      <c r="M57" s="4">
        <v>3</v>
      </c>
      <c r="N57" s="4" t="s">
        <v>6</v>
      </c>
      <c r="O57" s="4">
        <v>2</v>
      </c>
      <c r="P57" s="4"/>
      <c r="Q57" s="4"/>
      <c r="R57" s="4"/>
      <c r="S57" s="4"/>
      <c r="T57" s="4"/>
      <c r="U57" s="4"/>
      <c r="V57" s="4"/>
      <c r="W57" s="4"/>
    </row>
    <row r="58" spans="1:23" x14ac:dyDescent="0.2">
      <c r="A58" s="4">
        <v>50</v>
      </c>
      <c r="B58" s="4">
        <v>0</v>
      </c>
      <c r="C58" s="4">
        <v>0</v>
      </c>
      <c r="D58" s="4">
        <v>1</v>
      </c>
      <c r="E58" s="4">
        <v>203</v>
      </c>
      <c r="F58" s="4">
        <f>ROUND(Source!Q46,O58)</f>
        <v>746.92</v>
      </c>
      <c r="G58" s="4" t="s">
        <v>138</v>
      </c>
      <c r="H58" s="4" t="s">
        <v>139</v>
      </c>
      <c r="I58" s="4"/>
      <c r="J58" s="4"/>
      <c r="K58" s="4">
        <v>203</v>
      </c>
      <c r="L58" s="4">
        <v>11</v>
      </c>
      <c r="M58" s="4">
        <v>3</v>
      </c>
      <c r="N58" s="4" t="s">
        <v>6</v>
      </c>
      <c r="O58" s="4">
        <v>2</v>
      </c>
      <c r="P58" s="4"/>
      <c r="Q58" s="4"/>
      <c r="R58" s="4"/>
      <c r="S58" s="4"/>
      <c r="T58" s="4"/>
      <c r="U58" s="4"/>
      <c r="V58" s="4"/>
      <c r="W58" s="4"/>
    </row>
    <row r="59" spans="1:23" x14ac:dyDescent="0.2">
      <c r="A59" s="4">
        <v>50</v>
      </c>
      <c r="B59" s="4">
        <v>0</v>
      </c>
      <c r="C59" s="4">
        <v>0</v>
      </c>
      <c r="D59" s="4">
        <v>1</v>
      </c>
      <c r="E59" s="4">
        <v>231</v>
      </c>
      <c r="F59" s="4">
        <f>ROUND(Source!BB46,O59)</f>
        <v>0</v>
      </c>
      <c r="G59" s="4" t="s">
        <v>140</v>
      </c>
      <c r="H59" s="4" t="s">
        <v>141</v>
      </c>
      <c r="I59" s="4"/>
      <c r="J59" s="4"/>
      <c r="K59" s="4">
        <v>231</v>
      </c>
      <c r="L59" s="4">
        <v>12</v>
      </c>
      <c r="M59" s="4">
        <v>3</v>
      </c>
      <c r="N59" s="4" t="s">
        <v>6</v>
      </c>
      <c r="O59" s="4">
        <v>2</v>
      </c>
      <c r="P59" s="4"/>
      <c r="Q59" s="4"/>
      <c r="R59" s="4"/>
      <c r="S59" s="4"/>
      <c r="T59" s="4"/>
      <c r="U59" s="4"/>
      <c r="V59" s="4"/>
      <c r="W59" s="4"/>
    </row>
    <row r="60" spans="1:23" x14ac:dyDescent="0.2">
      <c r="A60" s="4">
        <v>50</v>
      </c>
      <c r="B60" s="4">
        <v>0</v>
      </c>
      <c r="C60" s="4">
        <v>0</v>
      </c>
      <c r="D60" s="4">
        <v>1</v>
      </c>
      <c r="E60" s="4">
        <v>204</v>
      </c>
      <c r="F60" s="4">
        <f>ROUND(Source!R46,O60)</f>
        <v>276.14</v>
      </c>
      <c r="G60" s="4" t="s">
        <v>142</v>
      </c>
      <c r="H60" s="4" t="s">
        <v>143</v>
      </c>
      <c r="I60" s="4"/>
      <c r="J60" s="4"/>
      <c r="K60" s="4">
        <v>204</v>
      </c>
      <c r="L60" s="4">
        <v>13</v>
      </c>
      <c r="M60" s="4">
        <v>3</v>
      </c>
      <c r="N60" s="4" t="s">
        <v>6</v>
      </c>
      <c r="O60" s="4">
        <v>2</v>
      </c>
      <c r="P60" s="4"/>
      <c r="Q60" s="4"/>
      <c r="R60" s="4"/>
      <c r="S60" s="4"/>
      <c r="T60" s="4"/>
      <c r="U60" s="4"/>
      <c r="V60" s="4"/>
      <c r="W60" s="4"/>
    </row>
    <row r="61" spans="1:23" x14ac:dyDescent="0.2">
      <c r="A61" s="4">
        <v>50</v>
      </c>
      <c r="B61" s="4">
        <v>0</v>
      </c>
      <c r="C61" s="4">
        <v>0</v>
      </c>
      <c r="D61" s="4">
        <v>1</v>
      </c>
      <c r="E61" s="4">
        <v>205</v>
      </c>
      <c r="F61" s="4">
        <f>ROUND(Source!S46,O61)</f>
        <v>9844.9</v>
      </c>
      <c r="G61" s="4" t="s">
        <v>144</v>
      </c>
      <c r="H61" s="4" t="s">
        <v>145</v>
      </c>
      <c r="I61" s="4"/>
      <c r="J61" s="4"/>
      <c r="K61" s="4">
        <v>205</v>
      </c>
      <c r="L61" s="4">
        <v>14</v>
      </c>
      <c r="M61" s="4">
        <v>3</v>
      </c>
      <c r="N61" s="4" t="s">
        <v>6</v>
      </c>
      <c r="O61" s="4">
        <v>2</v>
      </c>
      <c r="P61" s="4"/>
      <c r="Q61" s="4"/>
      <c r="R61" s="4"/>
      <c r="S61" s="4"/>
      <c r="T61" s="4"/>
      <c r="U61" s="4"/>
      <c r="V61" s="4"/>
      <c r="W61" s="4"/>
    </row>
    <row r="62" spans="1:23" x14ac:dyDescent="0.2">
      <c r="A62" s="4">
        <v>50</v>
      </c>
      <c r="B62" s="4">
        <v>0</v>
      </c>
      <c r="C62" s="4">
        <v>0</v>
      </c>
      <c r="D62" s="4">
        <v>1</v>
      </c>
      <c r="E62" s="4">
        <v>232</v>
      </c>
      <c r="F62" s="4">
        <f>ROUND(Source!BC46,O62)</f>
        <v>0</v>
      </c>
      <c r="G62" s="4" t="s">
        <v>146</v>
      </c>
      <c r="H62" s="4" t="s">
        <v>147</v>
      </c>
      <c r="I62" s="4"/>
      <c r="J62" s="4"/>
      <c r="K62" s="4">
        <v>232</v>
      </c>
      <c r="L62" s="4">
        <v>15</v>
      </c>
      <c r="M62" s="4">
        <v>3</v>
      </c>
      <c r="N62" s="4" t="s">
        <v>6</v>
      </c>
      <c r="O62" s="4">
        <v>2</v>
      </c>
      <c r="P62" s="4"/>
      <c r="Q62" s="4"/>
      <c r="R62" s="4"/>
      <c r="S62" s="4"/>
      <c r="T62" s="4"/>
      <c r="U62" s="4"/>
      <c r="V62" s="4"/>
      <c r="W62" s="4"/>
    </row>
    <row r="63" spans="1:23" x14ac:dyDescent="0.2">
      <c r="A63" s="4">
        <v>50</v>
      </c>
      <c r="B63" s="4">
        <v>0</v>
      </c>
      <c r="C63" s="4">
        <v>0</v>
      </c>
      <c r="D63" s="4">
        <v>1</v>
      </c>
      <c r="E63" s="4">
        <v>214</v>
      </c>
      <c r="F63" s="4">
        <f>ROUND(Source!AS46,O63)</f>
        <v>23352.720000000001</v>
      </c>
      <c r="G63" s="4" t="s">
        <v>148</v>
      </c>
      <c r="H63" s="4" t="s">
        <v>149</v>
      </c>
      <c r="I63" s="4"/>
      <c r="J63" s="4"/>
      <c r="K63" s="4">
        <v>214</v>
      </c>
      <c r="L63" s="4">
        <v>16</v>
      </c>
      <c r="M63" s="4">
        <v>3</v>
      </c>
      <c r="N63" s="4" t="s">
        <v>6</v>
      </c>
      <c r="O63" s="4">
        <v>2</v>
      </c>
      <c r="P63" s="4"/>
      <c r="Q63" s="4"/>
      <c r="R63" s="4"/>
      <c r="S63" s="4"/>
      <c r="T63" s="4"/>
      <c r="U63" s="4"/>
      <c r="V63" s="4"/>
      <c r="W63" s="4"/>
    </row>
    <row r="64" spans="1:23" x14ac:dyDescent="0.2">
      <c r="A64" s="4">
        <v>50</v>
      </c>
      <c r="B64" s="4">
        <v>0</v>
      </c>
      <c r="C64" s="4">
        <v>0</v>
      </c>
      <c r="D64" s="4">
        <v>1</v>
      </c>
      <c r="E64" s="4">
        <v>215</v>
      </c>
      <c r="F64" s="4">
        <f>ROUND(Source!AT46,O64)</f>
        <v>3064.57</v>
      </c>
      <c r="G64" s="4" t="s">
        <v>150</v>
      </c>
      <c r="H64" s="4" t="s">
        <v>151</v>
      </c>
      <c r="I64" s="4"/>
      <c r="J64" s="4"/>
      <c r="K64" s="4">
        <v>215</v>
      </c>
      <c r="L64" s="4">
        <v>17</v>
      </c>
      <c r="M64" s="4">
        <v>3</v>
      </c>
      <c r="N64" s="4" t="s">
        <v>6</v>
      </c>
      <c r="O64" s="4">
        <v>2</v>
      </c>
      <c r="P64" s="4"/>
      <c r="Q64" s="4"/>
      <c r="R64" s="4"/>
      <c r="S64" s="4"/>
      <c r="T64" s="4"/>
      <c r="U64" s="4"/>
      <c r="V64" s="4"/>
      <c r="W64" s="4"/>
    </row>
    <row r="65" spans="1:245" x14ac:dyDescent="0.2">
      <c r="A65" s="4">
        <v>50</v>
      </c>
      <c r="B65" s="4">
        <v>0</v>
      </c>
      <c r="C65" s="4">
        <v>0</v>
      </c>
      <c r="D65" s="4">
        <v>1</v>
      </c>
      <c r="E65" s="4">
        <v>217</v>
      </c>
      <c r="F65" s="4">
        <f>ROUND(Source!AU46,O65)</f>
        <v>0</v>
      </c>
      <c r="G65" s="4" t="s">
        <v>152</v>
      </c>
      <c r="H65" s="4" t="s">
        <v>153</v>
      </c>
      <c r="I65" s="4"/>
      <c r="J65" s="4"/>
      <c r="K65" s="4">
        <v>217</v>
      </c>
      <c r="L65" s="4">
        <v>18</v>
      </c>
      <c r="M65" s="4">
        <v>3</v>
      </c>
      <c r="N65" s="4" t="s">
        <v>6</v>
      </c>
      <c r="O65" s="4">
        <v>2</v>
      </c>
      <c r="P65" s="4"/>
      <c r="Q65" s="4"/>
      <c r="R65" s="4"/>
      <c r="S65" s="4"/>
      <c r="T65" s="4"/>
      <c r="U65" s="4"/>
      <c r="V65" s="4"/>
      <c r="W65" s="4"/>
    </row>
    <row r="66" spans="1:245" x14ac:dyDescent="0.2">
      <c r="A66" s="4">
        <v>50</v>
      </c>
      <c r="B66" s="4">
        <v>0</v>
      </c>
      <c r="C66" s="4">
        <v>0</v>
      </c>
      <c r="D66" s="4">
        <v>1</v>
      </c>
      <c r="E66" s="4">
        <v>230</v>
      </c>
      <c r="F66" s="4">
        <f>ROUND(Source!BA46,O66)</f>
        <v>0</v>
      </c>
      <c r="G66" s="4" t="s">
        <v>154</v>
      </c>
      <c r="H66" s="4" t="s">
        <v>155</v>
      </c>
      <c r="I66" s="4"/>
      <c r="J66" s="4"/>
      <c r="K66" s="4">
        <v>230</v>
      </c>
      <c r="L66" s="4">
        <v>19</v>
      </c>
      <c r="M66" s="4">
        <v>3</v>
      </c>
      <c r="N66" s="4" t="s">
        <v>6</v>
      </c>
      <c r="O66" s="4">
        <v>2</v>
      </c>
      <c r="P66" s="4"/>
      <c r="Q66" s="4"/>
      <c r="R66" s="4"/>
      <c r="S66" s="4"/>
      <c r="T66" s="4"/>
      <c r="U66" s="4"/>
      <c r="V66" s="4"/>
      <c r="W66" s="4"/>
    </row>
    <row r="67" spans="1:245" x14ac:dyDescent="0.2">
      <c r="A67" s="4">
        <v>50</v>
      </c>
      <c r="B67" s="4">
        <v>0</v>
      </c>
      <c r="C67" s="4">
        <v>0</v>
      </c>
      <c r="D67" s="4">
        <v>1</v>
      </c>
      <c r="E67" s="4">
        <v>206</v>
      </c>
      <c r="F67" s="4">
        <f>ROUND(Source!T46,O67)</f>
        <v>0</v>
      </c>
      <c r="G67" s="4" t="s">
        <v>156</v>
      </c>
      <c r="H67" s="4" t="s">
        <v>157</v>
      </c>
      <c r="I67" s="4"/>
      <c r="J67" s="4"/>
      <c r="K67" s="4">
        <v>206</v>
      </c>
      <c r="L67" s="4">
        <v>20</v>
      </c>
      <c r="M67" s="4">
        <v>3</v>
      </c>
      <c r="N67" s="4" t="s">
        <v>6</v>
      </c>
      <c r="O67" s="4">
        <v>2</v>
      </c>
      <c r="P67" s="4"/>
      <c r="Q67" s="4"/>
      <c r="R67" s="4"/>
      <c r="S67" s="4"/>
      <c r="T67" s="4"/>
      <c r="U67" s="4"/>
      <c r="V67" s="4"/>
      <c r="W67" s="4"/>
    </row>
    <row r="68" spans="1:245" x14ac:dyDescent="0.2">
      <c r="A68" s="4">
        <v>50</v>
      </c>
      <c r="B68" s="4">
        <v>0</v>
      </c>
      <c r="C68" s="4">
        <v>0</v>
      </c>
      <c r="D68" s="4">
        <v>1</v>
      </c>
      <c r="E68" s="4">
        <v>207</v>
      </c>
      <c r="F68" s="4">
        <f>Source!U46</f>
        <v>181.258669</v>
      </c>
      <c r="G68" s="4" t="s">
        <v>158</v>
      </c>
      <c r="H68" s="4" t="s">
        <v>159</v>
      </c>
      <c r="I68" s="4"/>
      <c r="J68" s="4"/>
      <c r="K68" s="4">
        <v>207</v>
      </c>
      <c r="L68" s="4">
        <v>21</v>
      </c>
      <c r="M68" s="4">
        <v>3</v>
      </c>
      <c r="N68" s="4" t="s">
        <v>6</v>
      </c>
      <c r="O68" s="4">
        <v>-1</v>
      </c>
      <c r="P68" s="4"/>
      <c r="Q68" s="4"/>
      <c r="R68" s="4"/>
      <c r="S68" s="4"/>
      <c r="T68" s="4"/>
      <c r="U68" s="4"/>
      <c r="V68" s="4"/>
      <c r="W68" s="4"/>
    </row>
    <row r="69" spans="1:245" x14ac:dyDescent="0.2">
      <c r="A69" s="4">
        <v>50</v>
      </c>
      <c r="B69" s="4">
        <v>0</v>
      </c>
      <c r="C69" s="4">
        <v>0</v>
      </c>
      <c r="D69" s="4">
        <v>1</v>
      </c>
      <c r="E69" s="4">
        <v>208</v>
      </c>
      <c r="F69" s="4">
        <f>Source!V46</f>
        <v>3.0557579999999995</v>
      </c>
      <c r="G69" s="4" t="s">
        <v>160</v>
      </c>
      <c r="H69" s="4" t="s">
        <v>161</v>
      </c>
      <c r="I69" s="4"/>
      <c r="J69" s="4"/>
      <c r="K69" s="4">
        <v>208</v>
      </c>
      <c r="L69" s="4">
        <v>22</v>
      </c>
      <c r="M69" s="4">
        <v>3</v>
      </c>
      <c r="N69" s="4" t="s">
        <v>6</v>
      </c>
      <c r="O69" s="4">
        <v>-1</v>
      </c>
      <c r="P69" s="4"/>
      <c r="Q69" s="4"/>
      <c r="R69" s="4"/>
      <c r="S69" s="4"/>
      <c r="T69" s="4"/>
      <c r="U69" s="4"/>
      <c r="V69" s="4"/>
      <c r="W69" s="4"/>
    </row>
    <row r="70" spans="1:245" x14ac:dyDescent="0.2">
      <c r="A70" s="4">
        <v>50</v>
      </c>
      <c r="B70" s="4">
        <v>0</v>
      </c>
      <c r="C70" s="4">
        <v>0</v>
      </c>
      <c r="D70" s="4">
        <v>1</v>
      </c>
      <c r="E70" s="4">
        <v>209</v>
      </c>
      <c r="F70" s="4">
        <f>ROUND(Source!W46,O70)</f>
        <v>0</v>
      </c>
      <c r="G70" s="4" t="s">
        <v>162</v>
      </c>
      <c r="H70" s="4" t="s">
        <v>163</v>
      </c>
      <c r="I70" s="4"/>
      <c r="J70" s="4"/>
      <c r="K70" s="4">
        <v>209</v>
      </c>
      <c r="L70" s="4">
        <v>23</v>
      </c>
      <c r="M70" s="4">
        <v>3</v>
      </c>
      <c r="N70" s="4" t="s">
        <v>6</v>
      </c>
      <c r="O70" s="4">
        <v>2</v>
      </c>
      <c r="P70" s="4"/>
      <c r="Q70" s="4"/>
      <c r="R70" s="4"/>
      <c r="S70" s="4"/>
      <c r="T70" s="4"/>
      <c r="U70" s="4"/>
      <c r="V70" s="4"/>
      <c r="W70" s="4"/>
    </row>
    <row r="71" spans="1:245" x14ac:dyDescent="0.2">
      <c r="A71" s="4">
        <v>50</v>
      </c>
      <c r="B71" s="4">
        <v>0</v>
      </c>
      <c r="C71" s="4">
        <v>0</v>
      </c>
      <c r="D71" s="4">
        <v>1</v>
      </c>
      <c r="E71" s="4">
        <v>210</v>
      </c>
      <c r="F71" s="4">
        <f>ROUND(Source!X46,O71)</f>
        <v>9277.8799999999992</v>
      </c>
      <c r="G71" s="4" t="s">
        <v>164</v>
      </c>
      <c r="H71" s="4" t="s">
        <v>165</v>
      </c>
      <c r="I71" s="4"/>
      <c r="J71" s="4"/>
      <c r="K71" s="4">
        <v>210</v>
      </c>
      <c r="L71" s="4">
        <v>24</v>
      </c>
      <c r="M71" s="4">
        <v>3</v>
      </c>
      <c r="N71" s="4" t="s">
        <v>6</v>
      </c>
      <c r="O71" s="4">
        <v>2</v>
      </c>
      <c r="P71" s="4"/>
      <c r="Q71" s="4"/>
      <c r="R71" s="4"/>
      <c r="S71" s="4"/>
      <c r="T71" s="4"/>
      <c r="U71" s="4"/>
      <c r="V71" s="4"/>
      <c r="W71" s="4"/>
    </row>
    <row r="72" spans="1:245" x14ac:dyDescent="0.2">
      <c r="A72" s="4">
        <v>50</v>
      </c>
      <c r="B72" s="4">
        <v>0</v>
      </c>
      <c r="C72" s="4">
        <v>0</v>
      </c>
      <c r="D72" s="4">
        <v>1</v>
      </c>
      <c r="E72" s="4">
        <v>211</v>
      </c>
      <c r="F72" s="4">
        <f>ROUND(Source!Y46,O72)</f>
        <v>6547.59</v>
      </c>
      <c r="G72" s="4" t="s">
        <v>166</v>
      </c>
      <c r="H72" s="4" t="s">
        <v>167</v>
      </c>
      <c r="I72" s="4"/>
      <c r="J72" s="4"/>
      <c r="K72" s="4">
        <v>211</v>
      </c>
      <c r="L72" s="4">
        <v>25</v>
      </c>
      <c r="M72" s="4">
        <v>3</v>
      </c>
      <c r="N72" s="4" t="s">
        <v>6</v>
      </c>
      <c r="O72" s="4">
        <v>2</v>
      </c>
      <c r="P72" s="4"/>
      <c r="Q72" s="4"/>
      <c r="R72" s="4"/>
      <c r="S72" s="4"/>
      <c r="T72" s="4"/>
      <c r="U72" s="4"/>
      <c r="V72" s="4"/>
      <c r="W72" s="4"/>
    </row>
    <row r="73" spans="1:245" x14ac:dyDescent="0.2">
      <c r="A73" s="4">
        <v>50</v>
      </c>
      <c r="B73" s="4">
        <v>0</v>
      </c>
      <c r="C73" s="4">
        <v>0</v>
      </c>
      <c r="D73" s="4">
        <v>1</v>
      </c>
      <c r="E73" s="4">
        <v>224</v>
      </c>
      <c r="F73" s="4">
        <f>ROUND(Source!AR46,O73)</f>
        <v>26417.29</v>
      </c>
      <c r="G73" s="4" t="s">
        <v>168</v>
      </c>
      <c r="H73" s="4" t="s">
        <v>169</v>
      </c>
      <c r="I73" s="4"/>
      <c r="J73" s="4"/>
      <c r="K73" s="4">
        <v>224</v>
      </c>
      <c r="L73" s="4">
        <v>26</v>
      </c>
      <c r="M73" s="4">
        <v>3</v>
      </c>
      <c r="N73" s="4" t="s">
        <v>6</v>
      </c>
      <c r="O73" s="4">
        <v>2</v>
      </c>
      <c r="P73" s="4"/>
      <c r="Q73" s="4"/>
      <c r="R73" s="4"/>
      <c r="S73" s="4"/>
      <c r="T73" s="4"/>
      <c r="U73" s="4"/>
      <c r="V73" s="4"/>
      <c r="W73" s="4"/>
    </row>
    <row r="75" spans="1:245" x14ac:dyDescent="0.2">
      <c r="A75" s="1">
        <v>4</v>
      </c>
      <c r="B75" s="1">
        <v>1</v>
      </c>
      <c r="C75" s="1"/>
      <c r="D75" s="1">
        <f>ROW(A152)</f>
        <v>152</v>
      </c>
      <c r="E75" s="1"/>
      <c r="F75" s="1" t="s">
        <v>13</v>
      </c>
      <c r="G75" s="1" t="s">
        <v>150</v>
      </c>
      <c r="H75" s="1" t="s">
        <v>6</v>
      </c>
      <c r="I75" s="1">
        <v>0</v>
      </c>
      <c r="J75" s="1"/>
      <c r="K75" s="1">
        <v>0</v>
      </c>
      <c r="L75" s="1"/>
      <c r="M75" s="1"/>
      <c r="N75" s="1"/>
      <c r="O75" s="1"/>
      <c r="P75" s="1"/>
      <c r="Q75" s="1"/>
      <c r="R75" s="1"/>
      <c r="S75" s="1"/>
      <c r="T75" s="1"/>
      <c r="U75" s="1" t="s">
        <v>6</v>
      </c>
      <c r="V75" s="1">
        <v>0</v>
      </c>
      <c r="W75" s="1"/>
      <c r="X75" s="1"/>
      <c r="Y75" s="1"/>
      <c r="Z75" s="1"/>
      <c r="AA75" s="1"/>
      <c r="AB75" s="1" t="s">
        <v>6</v>
      </c>
      <c r="AC75" s="1" t="s">
        <v>6</v>
      </c>
      <c r="AD75" s="1" t="s">
        <v>6</v>
      </c>
      <c r="AE75" s="1" t="s">
        <v>6</v>
      </c>
      <c r="AF75" s="1" t="s">
        <v>6</v>
      </c>
      <c r="AG75" s="1" t="s">
        <v>6</v>
      </c>
      <c r="AH75" s="1"/>
      <c r="AI75" s="1"/>
      <c r="AJ75" s="1"/>
      <c r="AK75" s="1"/>
      <c r="AL75" s="1"/>
      <c r="AM75" s="1"/>
      <c r="AN75" s="1"/>
      <c r="AO75" s="1"/>
      <c r="AP75" s="1" t="s">
        <v>6</v>
      </c>
      <c r="AQ75" s="1" t="s">
        <v>6</v>
      </c>
      <c r="AR75" s="1" t="s">
        <v>6</v>
      </c>
      <c r="AS75" s="1"/>
      <c r="AT75" s="1"/>
      <c r="AU75" s="1"/>
      <c r="AV75" s="1"/>
      <c r="AW75" s="1"/>
      <c r="AX75" s="1"/>
      <c r="AY75" s="1"/>
      <c r="AZ75" s="1" t="s">
        <v>6</v>
      </c>
      <c r="BA75" s="1"/>
      <c r="BB75" s="1" t="s">
        <v>6</v>
      </c>
      <c r="BC75" s="1" t="s">
        <v>6</v>
      </c>
      <c r="BD75" s="1" t="s">
        <v>6</v>
      </c>
      <c r="BE75" s="1" t="s">
        <v>6</v>
      </c>
      <c r="BF75" s="1" t="s">
        <v>6</v>
      </c>
      <c r="BG75" s="1" t="s">
        <v>6</v>
      </c>
      <c r="BH75" s="1" t="s">
        <v>6</v>
      </c>
      <c r="BI75" s="1" t="s">
        <v>6</v>
      </c>
      <c r="BJ75" s="1" t="s">
        <v>6</v>
      </c>
      <c r="BK75" s="1" t="s">
        <v>6</v>
      </c>
      <c r="BL75" s="1" t="s">
        <v>6</v>
      </c>
      <c r="BM75" s="1" t="s">
        <v>6</v>
      </c>
      <c r="BN75" s="1" t="s">
        <v>6</v>
      </c>
      <c r="BO75" s="1" t="s">
        <v>6</v>
      </c>
      <c r="BP75" s="1" t="s">
        <v>6</v>
      </c>
      <c r="BQ75" s="1"/>
      <c r="BR75" s="1"/>
      <c r="BS75" s="1"/>
      <c r="BT75" s="1"/>
      <c r="BU75" s="1"/>
      <c r="BV75" s="1"/>
      <c r="BW75" s="1"/>
      <c r="BX75" s="1">
        <v>0</v>
      </c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>
        <v>0</v>
      </c>
    </row>
    <row r="77" spans="1:245" x14ac:dyDescent="0.2">
      <c r="A77" s="2">
        <v>52</v>
      </c>
      <c r="B77" s="2">
        <f t="shared" ref="B77:G77" si="64">B152</f>
        <v>1</v>
      </c>
      <c r="C77" s="2">
        <f t="shared" si="64"/>
        <v>4</v>
      </c>
      <c r="D77" s="2">
        <f t="shared" si="64"/>
        <v>75</v>
      </c>
      <c r="E77" s="2">
        <f t="shared" si="64"/>
        <v>0</v>
      </c>
      <c r="F77" s="2" t="str">
        <f t="shared" si="64"/>
        <v>Новый раздел</v>
      </c>
      <c r="G77" s="2" t="str">
        <f t="shared" si="64"/>
        <v>Монтаж</v>
      </c>
      <c r="H77" s="2"/>
      <c r="I77" s="2"/>
      <c r="J77" s="2"/>
      <c r="K77" s="2"/>
      <c r="L77" s="2"/>
      <c r="M77" s="2"/>
      <c r="N77" s="2"/>
      <c r="O77" s="2">
        <f t="shared" ref="O77:AT77" si="65">O152</f>
        <v>652338.69999999995</v>
      </c>
      <c r="P77" s="2">
        <f t="shared" si="65"/>
        <v>610676.32999999996</v>
      </c>
      <c r="Q77" s="2">
        <f t="shared" si="65"/>
        <v>3587.88</v>
      </c>
      <c r="R77" s="2">
        <f t="shared" si="65"/>
        <v>963.99</v>
      </c>
      <c r="S77" s="2">
        <f t="shared" si="65"/>
        <v>38074.49</v>
      </c>
      <c r="T77" s="2">
        <f t="shared" si="65"/>
        <v>0</v>
      </c>
      <c r="U77" s="2">
        <f t="shared" si="65"/>
        <v>656.53464069999973</v>
      </c>
      <c r="V77" s="2">
        <f t="shared" si="65"/>
        <v>11.325867000000001</v>
      </c>
      <c r="W77" s="2">
        <f t="shared" si="65"/>
        <v>0</v>
      </c>
      <c r="X77" s="2">
        <f t="shared" si="65"/>
        <v>38000.54</v>
      </c>
      <c r="Y77" s="2">
        <f t="shared" si="65"/>
        <v>22112.47</v>
      </c>
      <c r="Z77" s="2">
        <f t="shared" si="65"/>
        <v>0</v>
      </c>
      <c r="AA77" s="2">
        <f t="shared" si="65"/>
        <v>0</v>
      </c>
      <c r="AB77" s="2">
        <f t="shared" si="65"/>
        <v>652338.69999999995</v>
      </c>
      <c r="AC77" s="2">
        <f t="shared" si="65"/>
        <v>610676.32999999996</v>
      </c>
      <c r="AD77" s="2">
        <f t="shared" si="65"/>
        <v>3587.88</v>
      </c>
      <c r="AE77" s="2">
        <f t="shared" si="65"/>
        <v>963.99</v>
      </c>
      <c r="AF77" s="2">
        <f t="shared" si="65"/>
        <v>38074.49</v>
      </c>
      <c r="AG77" s="2">
        <f t="shared" si="65"/>
        <v>0</v>
      </c>
      <c r="AH77" s="2">
        <f t="shared" si="65"/>
        <v>656.53464069999973</v>
      </c>
      <c r="AI77" s="2">
        <f t="shared" si="65"/>
        <v>11.325867000000001</v>
      </c>
      <c r="AJ77" s="2">
        <f t="shared" si="65"/>
        <v>0</v>
      </c>
      <c r="AK77" s="2">
        <f t="shared" si="65"/>
        <v>38000.54</v>
      </c>
      <c r="AL77" s="2">
        <f t="shared" si="65"/>
        <v>22112.47</v>
      </c>
      <c r="AM77" s="2">
        <f t="shared" si="65"/>
        <v>0</v>
      </c>
      <c r="AN77" s="2">
        <f t="shared" si="65"/>
        <v>0</v>
      </c>
      <c r="AO77" s="2">
        <f t="shared" si="65"/>
        <v>0</v>
      </c>
      <c r="AP77" s="2">
        <f t="shared" si="65"/>
        <v>0</v>
      </c>
      <c r="AQ77" s="2">
        <f t="shared" si="65"/>
        <v>0</v>
      </c>
      <c r="AR77" s="2">
        <f t="shared" si="65"/>
        <v>713256.71</v>
      </c>
      <c r="AS77" s="2">
        <f t="shared" si="65"/>
        <v>713256.71</v>
      </c>
      <c r="AT77" s="2">
        <f t="shared" si="65"/>
        <v>0</v>
      </c>
      <c r="AU77" s="2">
        <f t="shared" ref="AU77:BZ77" si="66">AU152</f>
        <v>0</v>
      </c>
      <c r="AV77" s="2">
        <f t="shared" si="66"/>
        <v>610676.32999999996</v>
      </c>
      <c r="AW77" s="2">
        <f t="shared" si="66"/>
        <v>610676.32999999996</v>
      </c>
      <c r="AX77" s="2">
        <f t="shared" si="66"/>
        <v>0</v>
      </c>
      <c r="AY77" s="2">
        <f t="shared" si="66"/>
        <v>610676.32999999996</v>
      </c>
      <c r="AZ77" s="2">
        <f t="shared" si="66"/>
        <v>0</v>
      </c>
      <c r="BA77" s="2">
        <f t="shared" si="66"/>
        <v>0</v>
      </c>
      <c r="BB77" s="2">
        <f t="shared" si="66"/>
        <v>0</v>
      </c>
      <c r="BC77" s="2">
        <f t="shared" si="66"/>
        <v>0</v>
      </c>
      <c r="BD77" s="2">
        <f t="shared" si="66"/>
        <v>0</v>
      </c>
      <c r="BE77" s="2">
        <f t="shared" si="66"/>
        <v>0</v>
      </c>
      <c r="BF77" s="2">
        <f t="shared" si="66"/>
        <v>0</v>
      </c>
      <c r="BG77" s="2">
        <f t="shared" si="66"/>
        <v>0</v>
      </c>
      <c r="BH77" s="2">
        <f t="shared" si="66"/>
        <v>0</v>
      </c>
      <c r="BI77" s="2">
        <f t="shared" si="66"/>
        <v>0</v>
      </c>
      <c r="BJ77" s="2">
        <f t="shared" si="66"/>
        <v>0</v>
      </c>
      <c r="BK77" s="2">
        <f t="shared" si="66"/>
        <v>0</v>
      </c>
      <c r="BL77" s="2">
        <f t="shared" si="66"/>
        <v>0</v>
      </c>
      <c r="BM77" s="2">
        <f t="shared" si="66"/>
        <v>0</v>
      </c>
      <c r="BN77" s="2">
        <f t="shared" si="66"/>
        <v>0</v>
      </c>
      <c r="BO77" s="2">
        <f t="shared" si="66"/>
        <v>0</v>
      </c>
      <c r="BP77" s="2">
        <f t="shared" si="66"/>
        <v>0</v>
      </c>
      <c r="BQ77" s="2">
        <f t="shared" si="66"/>
        <v>0</v>
      </c>
      <c r="BR77" s="2">
        <f t="shared" si="66"/>
        <v>0</v>
      </c>
      <c r="BS77" s="2">
        <f t="shared" si="66"/>
        <v>0</v>
      </c>
      <c r="BT77" s="2">
        <f t="shared" si="66"/>
        <v>0</v>
      </c>
      <c r="BU77" s="2">
        <f t="shared" si="66"/>
        <v>0</v>
      </c>
      <c r="BV77" s="2">
        <f t="shared" si="66"/>
        <v>0</v>
      </c>
      <c r="BW77" s="2">
        <f t="shared" si="66"/>
        <v>0</v>
      </c>
      <c r="BX77" s="2">
        <f t="shared" si="66"/>
        <v>0</v>
      </c>
      <c r="BY77" s="2">
        <f t="shared" si="66"/>
        <v>0</v>
      </c>
      <c r="BZ77" s="2">
        <f t="shared" si="66"/>
        <v>0</v>
      </c>
      <c r="CA77" s="2">
        <f t="shared" ref="CA77:DF77" si="67">CA152</f>
        <v>713256.71</v>
      </c>
      <c r="CB77" s="2">
        <f t="shared" si="67"/>
        <v>713256.71</v>
      </c>
      <c r="CC77" s="2">
        <f t="shared" si="67"/>
        <v>0</v>
      </c>
      <c r="CD77" s="2">
        <f t="shared" si="67"/>
        <v>0</v>
      </c>
      <c r="CE77" s="2">
        <f t="shared" si="67"/>
        <v>610676.32999999996</v>
      </c>
      <c r="CF77" s="2">
        <f t="shared" si="67"/>
        <v>610676.32999999996</v>
      </c>
      <c r="CG77" s="2">
        <f t="shared" si="67"/>
        <v>0</v>
      </c>
      <c r="CH77" s="2">
        <f t="shared" si="67"/>
        <v>610676.32999999996</v>
      </c>
      <c r="CI77" s="2">
        <f t="shared" si="67"/>
        <v>0</v>
      </c>
      <c r="CJ77" s="2">
        <f t="shared" si="67"/>
        <v>0</v>
      </c>
      <c r="CK77" s="2">
        <f t="shared" si="67"/>
        <v>0</v>
      </c>
      <c r="CL77" s="2">
        <f t="shared" si="67"/>
        <v>0</v>
      </c>
      <c r="CM77" s="2">
        <f t="shared" si="67"/>
        <v>0</v>
      </c>
      <c r="CN77" s="2">
        <f t="shared" si="67"/>
        <v>0</v>
      </c>
      <c r="CO77" s="2">
        <f t="shared" si="67"/>
        <v>0</v>
      </c>
      <c r="CP77" s="2">
        <f t="shared" si="67"/>
        <v>0</v>
      </c>
      <c r="CQ77" s="2">
        <f t="shared" si="67"/>
        <v>0</v>
      </c>
      <c r="CR77" s="2">
        <f t="shared" si="67"/>
        <v>0</v>
      </c>
      <c r="CS77" s="2">
        <f t="shared" si="67"/>
        <v>0</v>
      </c>
      <c r="CT77" s="2">
        <f t="shared" si="67"/>
        <v>0</v>
      </c>
      <c r="CU77" s="2">
        <f t="shared" si="67"/>
        <v>0</v>
      </c>
      <c r="CV77" s="2">
        <f t="shared" si="67"/>
        <v>0</v>
      </c>
      <c r="CW77" s="2">
        <f t="shared" si="67"/>
        <v>0</v>
      </c>
      <c r="CX77" s="2">
        <f t="shared" si="67"/>
        <v>0</v>
      </c>
      <c r="CY77" s="2">
        <f t="shared" si="67"/>
        <v>0</v>
      </c>
      <c r="CZ77" s="2">
        <f t="shared" si="67"/>
        <v>0</v>
      </c>
      <c r="DA77" s="2">
        <f t="shared" si="67"/>
        <v>0</v>
      </c>
      <c r="DB77" s="2">
        <f t="shared" si="67"/>
        <v>0</v>
      </c>
      <c r="DC77" s="2">
        <f t="shared" si="67"/>
        <v>0</v>
      </c>
      <c r="DD77" s="2">
        <f t="shared" si="67"/>
        <v>0</v>
      </c>
      <c r="DE77" s="2">
        <f t="shared" si="67"/>
        <v>0</v>
      </c>
      <c r="DF77" s="2">
        <f t="shared" si="67"/>
        <v>0</v>
      </c>
      <c r="DG77" s="3">
        <f t="shared" ref="DG77:EL77" si="68">DG152</f>
        <v>0</v>
      </c>
      <c r="DH77" s="3">
        <f t="shared" si="68"/>
        <v>0</v>
      </c>
      <c r="DI77" s="3">
        <f t="shared" si="68"/>
        <v>0</v>
      </c>
      <c r="DJ77" s="3">
        <f t="shared" si="68"/>
        <v>0</v>
      </c>
      <c r="DK77" s="3">
        <f t="shared" si="68"/>
        <v>0</v>
      </c>
      <c r="DL77" s="3">
        <f t="shared" si="68"/>
        <v>0</v>
      </c>
      <c r="DM77" s="3">
        <f t="shared" si="68"/>
        <v>0</v>
      </c>
      <c r="DN77" s="3">
        <f t="shared" si="68"/>
        <v>0</v>
      </c>
      <c r="DO77" s="3">
        <f t="shared" si="68"/>
        <v>0</v>
      </c>
      <c r="DP77" s="3">
        <f t="shared" si="68"/>
        <v>0</v>
      </c>
      <c r="DQ77" s="3">
        <f t="shared" si="68"/>
        <v>0</v>
      </c>
      <c r="DR77" s="3">
        <f t="shared" si="68"/>
        <v>0</v>
      </c>
      <c r="DS77" s="3">
        <f t="shared" si="68"/>
        <v>0</v>
      </c>
      <c r="DT77" s="3">
        <f t="shared" si="68"/>
        <v>0</v>
      </c>
      <c r="DU77" s="3">
        <f t="shared" si="68"/>
        <v>0</v>
      </c>
      <c r="DV77" s="3">
        <f t="shared" si="68"/>
        <v>0</v>
      </c>
      <c r="DW77" s="3">
        <f t="shared" si="68"/>
        <v>0</v>
      </c>
      <c r="DX77" s="3">
        <f t="shared" si="68"/>
        <v>0</v>
      </c>
      <c r="DY77" s="3">
        <f t="shared" si="68"/>
        <v>0</v>
      </c>
      <c r="DZ77" s="3">
        <f t="shared" si="68"/>
        <v>0</v>
      </c>
      <c r="EA77" s="3">
        <f t="shared" si="68"/>
        <v>0</v>
      </c>
      <c r="EB77" s="3">
        <f t="shared" si="68"/>
        <v>0</v>
      </c>
      <c r="EC77" s="3">
        <f t="shared" si="68"/>
        <v>0</v>
      </c>
      <c r="ED77" s="3">
        <f t="shared" si="68"/>
        <v>0</v>
      </c>
      <c r="EE77" s="3">
        <f t="shared" si="68"/>
        <v>0</v>
      </c>
      <c r="EF77" s="3">
        <f t="shared" si="68"/>
        <v>0</v>
      </c>
      <c r="EG77" s="3">
        <f t="shared" si="68"/>
        <v>0</v>
      </c>
      <c r="EH77" s="3">
        <f t="shared" si="68"/>
        <v>0</v>
      </c>
      <c r="EI77" s="3">
        <f t="shared" si="68"/>
        <v>0</v>
      </c>
      <c r="EJ77" s="3">
        <f t="shared" si="68"/>
        <v>0</v>
      </c>
      <c r="EK77" s="3">
        <f t="shared" si="68"/>
        <v>0</v>
      </c>
      <c r="EL77" s="3">
        <f t="shared" si="68"/>
        <v>0</v>
      </c>
      <c r="EM77" s="3">
        <f t="shared" ref="EM77:FR77" si="69">EM152</f>
        <v>0</v>
      </c>
      <c r="EN77" s="3">
        <f t="shared" si="69"/>
        <v>0</v>
      </c>
      <c r="EO77" s="3">
        <f t="shared" si="69"/>
        <v>0</v>
      </c>
      <c r="EP77" s="3">
        <f t="shared" si="69"/>
        <v>0</v>
      </c>
      <c r="EQ77" s="3">
        <f t="shared" si="69"/>
        <v>0</v>
      </c>
      <c r="ER77" s="3">
        <f t="shared" si="69"/>
        <v>0</v>
      </c>
      <c r="ES77" s="3">
        <f t="shared" si="69"/>
        <v>0</v>
      </c>
      <c r="ET77" s="3">
        <f t="shared" si="69"/>
        <v>0</v>
      </c>
      <c r="EU77" s="3">
        <f t="shared" si="69"/>
        <v>0</v>
      </c>
      <c r="EV77" s="3">
        <f t="shared" si="69"/>
        <v>0</v>
      </c>
      <c r="EW77" s="3">
        <f t="shared" si="69"/>
        <v>0</v>
      </c>
      <c r="EX77" s="3">
        <f t="shared" si="69"/>
        <v>0</v>
      </c>
      <c r="EY77" s="3">
        <f t="shared" si="69"/>
        <v>0</v>
      </c>
      <c r="EZ77" s="3">
        <f t="shared" si="69"/>
        <v>0</v>
      </c>
      <c r="FA77" s="3">
        <f t="shared" si="69"/>
        <v>0</v>
      </c>
      <c r="FB77" s="3">
        <f t="shared" si="69"/>
        <v>0</v>
      </c>
      <c r="FC77" s="3">
        <f t="shared" si="69"/>
        <v>0</v>
      </c>
      <c r="FD77" s="3">
        <f t="shared" si="69"/>
        <v>0</v>
      </c>
      <c r="FE77" s="3">
        <f t="shared" si="69"/>
        <v>0</v>
      </c>
      <c r="FF77" s="3">
        <f t="shared" si="69"/>
        <v>0</v>
      </c>
      <c r="FG77" s="3">
        <f t="shared" si="69"/>
        <v>0</v>
      </c>
      <c r="FH77" s="3">
        <f t="shared" si="69"/>
        <v>0</v>
      </c>
      <c r="FI77" s="3">
        <f t="shared" si="69"/>
        <v>0</v>
      </c>
      <c r="FJ77" s="3">
        <f t="shared" si="69"/>
        <v>0</v>
      </c>
      <c r="FK77" s="3">
        <f t="shared" si="69"/>
        <v>0</v>
      </c>
      <c r="FL77" s="3">
        <f t="shared" si="69"/>
        <v>0</v>
      </c>
      <c r="FM77" s="3">
        <f t="shared" si="69"/>
        <v>0</v>
      </c>
      <c r="FN77" s="3">
        <f t="shared" si="69"/>
        <v>0</v>
      </c>
      <c r="FO77" s="3">
        <f t="shared" si="69"/>
        <v>0</v>
      </c>
      <c r="FP77" s="3">
        <f t="shared" si="69"/>
        <v>0</v>
      </c>
      <c r="FQ77" s="3">
        <f t="shared" si="69"/>
        <v>0</v>
      </c>
      <c r="FR77" s="3">
        <f t="shared" si="69"/>
        <v>0</v>
      </c>
      <c r="FS77" s="3">
        <f t="shared" ref="FS77:GX77" si="70">FS152</f>
        <v>0</v>
      </c>
      <c r="FT77" s="3">
        <f t="shared" si="70"/>
        <v>0</v>
      </c>
      <c r="FU77" s="3">
        <f t="shared" si="70"/>
        <v>0</v>
      </c>
      <c r="FV77" s="3">
        <f t="shared" si="70"/>
        <v>0</v>
      </c>
      <c r="FW77" s="3">
        <f t="shared" si="70"/>
        <v>0</v>
      </c>
      <c r="FX77" s="3">
        <f t="shared" si="70"/>
        <v>0</v>
      </c>
      <c r="FY77" s="3">
        <f t="shared" si="70"/>
        <v>0</v>
      </c>
      <c r="FZ77" s="3">
        <f t="shared" si="70"/>
        <v>0</v>
      </c>
      <c r="GA77" s="3">
        <f t="shared" si="70"/>
        <v>0</v>
      </c>
      <c r="GB77" s="3">
        <f t="shared" si="70"/>
        <v>0</v>
      </c>
      <c r="GC77" s="3">
        <f t="shared" si="70"/>
        <v>0</v>
      </c>
      <c r="GD77" s="3">
        <f t="shared" si="70"/>
        <v>0</v>
      </c>
      <c r="GE77" s="3">
        <f t="shared" si="70"/>
        <v>0</v>
      </c>
      <c r="GF77" s="3">
        <f t="shared" si="70"/>
        <v>0</v>
      </c>
      <c r="GG77" s="3">
        <f t="shared" si="70"/>
        <v>0</v>
      </c>
      <c r="GH77" s="3">
        <f t="shared" si="70"/>
        <v>0</v>
      </c>
      <c r="GI77" s="3">
        <f t="shared" si="70"/>
        <v>0</v>
      </c>
      <c r="GJ77" s="3">
        <f t="shared" si="70"/>
        <v>0</v>
      </c>
      <c r="GK77" s="3">
        <f t="shared" si="70"/>
        <v>0</v>
      </c>
      <c r="GL77" s="3">
        <f t="shared" si="70"/>
        <v>0</v>
      </c>
      <c r="GM77" s="3">
        <f t="shared" si="70"/>
        <v>0</v>
      </c>
      <c r="GN77" s="3">
        <f t="shared" si="70"/>
        <v>0</v>
      </c>
      <c r="GO77" s="3">
        <f t="shared" si="70"/>
        <v>0</v>
      </c>
      <c r="GP77" s="3">
        <f t="shared" si="70"/>
        <v>0</v>
      </c>
      <c r="GQ77" s="3">
        <f t="shared" si="70"/>
        <v>0</v>
      </c>
      <c r="GR77" s="3">
        <f t="shared" si="70"/>
        <v>0</v>
      </c>
      <c r="GS77" s="3">
        <f t="shared" si="70"/>
        <v>0</v>
      </c>
      <c r="GT77" s="3">
        <f t="shared" si="70"/>
        <v>0</v>
      </c>
      <c r="GU77" s="3">
        <f t="shared" si="70"/>
        <v>0</v>
      </c>
      <c r="GV77" s="3">
        <f t="shared" si="70"/>
        <v>0</v>
      </c>
      <c r="GW77" s="3">
        <f t="shared" si="70"/>
        <v>0</v>
      </c>
      <c r="GX77" s="3">
        <f t="shared" si="70"/>
        <v>0</v>
      </c>
    </row>
    <row r="79" spans="1:245" x14ac:dyDescent="0.2">
      <c r="A79">
        <v>17</v>
      </c>
      <c r="B79">
        <v>1</v>
      </c>
      <c r="C79">
        <f>ROW(SmtRes!A78)</f>
        <v>78</v>
      </c>
      <c r="D79">
        <f>ROW(EtalonRes!A83)</f>
        <v>83</v>
      </c>
      <c r="E79" t="s">
        <v>170</v>
      </c>
      <c r="F79" t="s">
        <v>171</v>
      </c>
      <c r="G79" t="s">
        <v>172</v>
      </c>
      <c r="H79" t="s">
        <v>18</v>
      </c>
      <c r="I79">
        <f>ROUND(9.45/100,9)</f>
        <v>9.4500000000000001E-2</v>
      </c>
      <c r="J79">
        <v>0</v>
      </c>
      <c r="O79">
        <f t="shared" ref="O79:O110" si="71">ROUND(CP79,2)</f>
        <v>2720.27</v>
      </c>
      <c r="P79">
        <f t="shared" ref="P79:P110" si="72">ROUND(CQ79*I79,2)</f>
        <v>1080.3800000000001</v>
      </c>
      <c r="Q79">
        <f t="shared" ref="Q79:Q110" si="73">ROUND(CR79*I79,2)</f>
        <v>920.69</v>
      </c>
      <c r="R79">
        <f t="shared" ref="R79:R110" si="74">ROUND(CS79*I79,2)</f>
        <v>146.38</v>
      </c>
      <c r="S79">
        <f t="shared" ref="S79:S110" si="75">ROUND(CT79*I79,2)</f>
        <v>719.2</v>
      </c>
      <c r="T79">
        <f t="shared" ref="T79:T110" si="76">ROUND(CU79*I79,2)</f>
        <v>0</v>
      </c>
      <c r="U79">
        <f t="shared" ref="U79:U110" si="77">CV79*I79</f>
        <v>11.675607299999999</v>
      </c>
      <c r="V79">
        <f t="shared" ref="V79:V110" si="78">CW79*I79</f>
        <v>1.65564</v>
      </c>
      <c r="W79">
        <f t="shared" ref="W79:W110" si="79">ROUND(CX79*I79,2)</f>
        <v>0</v>
      </c>
      <c r="X79">
        <f t="shared" ref="X79:X110" si="80">ROUND(CY79,2)</f>
        <v>917.51</v>
      </c>
      <c r="Y79">
        <f t="shared" ref="Y79:Y110" si="81">ROUND(CZ79,2)</f>
        <v>467.41</v>
      </c>
      <c r="AA79">
        <v>16808636</v>
      </c>
      <c r="AB79">
        <f t="shared" ref="AB79:AB110" si="82">ROUND((AC79+AD79+AF79),2)</f>
        <v>4290</v>
      </c>
      <c r="AC79">
        <f t="shared" ref="AC79:AC110" si="83">ROUND((ES79),2)</f>
        <v>1703.82</v>
      </c>
      <c r="AD79">
        <f>ROUND((((((ET79*1.25)*1.2))-(((EU79*1.25)*1.2)))+AE79),2)</f>
        <v>1451.97</v>
      </c>
      <c r="AE79">
        <f>ROUND((((EU79*1.25)*1.2)),2)</f>
        <v>230.85</v>
      </c>
      <c r="AF79">
        <f>ROUND((((EV79*1.15)*1.2)),2)</f>
        <v>1134.21</v>
      </c>
      <c r="AG79">
        <f t="shared" ref="AG79:AG110" si="84">ROUND((AP79),2)</f>
        <v>0</v>
      </c>
      <c r="AH79">
        <f>(((EW79*1.15)*1.2))</f>
        <v>123.55139999999999</v>
      </c>
      <c r="AI79">
        <f>(((EX79*1.25)*1.2))</f>
        <v>17.52</v>
      </c>
      <c r="AJ79">
        <f t="shared" ref="AJ79:AJ110" si="85">(AS79)</f>
        <v>0</v>
      </c>
      <c r="AK79">
        <v>3493.69</v>
      </c>
      <c r="AL79">
        <v>1703.82</v>
      </c>
      <c r="AM79">
        <v>967.98</v>
      </c>
      <c r="AN79">
        <v>153.9</v>
      </c>
      <c r="AO79">
        <v>821.89</v>
      </c>
      <c r="AP79">
        <v>0</v>
      </c>
      <c r="AQ79">
        <v>89.53</v>
      </c>
      <c r="AR79">
        <v>11.68</v>
      </c>
      <c r="AS79">
        <v>0</v>
      </c>
      <c r="AT79">
        <v>106</v>
      </c>
      <c r="AU79">
        <v>54</v>
      </c>
      <c r="AV79">
        <v>1</v>
      </c>
      <c r="AW79">
        <v>1</v>
      </c>
      <c r="AZ79">
        <v>6.71</v>
      </c>
      <c r="BA79">
        <v>6.71</v>
      </c>
      <c r="BB79">
        <v>6.71</v>
      </c>
      <c r="BC79">
        <v>6.71</v>
      </c>
      <c r="BD79" t="s">
        <v>6</v>
      </c>
      <c r="BE79" t="s">
        <v>6</v>
      </c>
      <c r="BF79" t="s">
        <v>6</v>
      </c>
      <c r="BG79" t="s">
        <v>6</v>
      </c>
      <c r="BH79">
        <v>0</v>
      </c>
      <c r="BI79">
        <v>1</v>
      </c>
      <c r="BJ79" t="s">
        <v>173</v>
      </c>
      <c r="BM79">
        <v>10001</v>
      </c>
      <c r="BN79">
        <v>0</v>
      </c>
      <c r="BO79" t="s">
        <v>6</v>
      </c>
      <c r="BP79">
        <v>0</v>
      </c>
      <c r="BQ79">
        <v>2</v>
      </c>
      <c r="BR79">
        <v>0</v>
      </c>
      <c r="BS79">
        <v>6.71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118</v>
      </c>
      <c r="CA79">
        <v>63</v>
      </c>
      <c r="CE79">
        <v>0</v>
      </c>
      <c r="CF79">
        <v>0</v>
      </c>
      <c r="CG79">
        <v>0</v>
      </c>
      <c r="CM79">
        <v>0</v>
      </c>
      <c r="CN79" t="s">
        <v>1057</v>
      </c>
      <c r="CO79">
        <v>0</v>
      </c>
      <c r="CP79">
        <f t="shared" ref="CP79:CP110" si="86">(P79+Q79+S79)</f>
        <v>2720.2700000000004</v>
      </c>
      <c r="CQ79">
        <f t="shared" ref="CQ79:CQ110" si="87">AC79*BC79</f>
        <v>11432.6322</v>
      </c>
      <c r="CR79">
        <f t="shared" ref="CR79:CR110" si="88">AD79*BB79</f>
        <v>9742.7186999999994</v>
      </c>
      <c r="CS79">
        <f t="shared" ref="CS79:CS110" si="89">AE79*BS79</f>
        <v>1549.0035</v>
      </c>
      <c r="CT79">
        <f t="shared" ref="CT79:CT110" si="90">AF79*BA79</f>
        <v>7610.5491000000002</v>
      </c>
      <c r="CU79">
        <f t="shared" ref="CU79:CU110" si="91">AG79</f>
        <v>0</v>
      </c>
      <c r="CV79">
        <f t="shared" ref="CV79:CV110" si="92">AH79</f>
        <v>123.55139999999999</v>
      </c>
      <c r="CW79">
        <f t="shared" ref="CW79:CW110" si="93">AI79</f>
        <v>17.52</v>
      </c>
      <c r="CX79">
        <f t="shared" ref="CX79:CX110" si="94">AJ79</f>
        <v>0</v>
      </c>
      <c r="CY79">
        <f t="shared" ref="CY79:CY110" si="95">(((S79+R79)*AT79)/100)</f>
        <v>917.51480000000015</v>
      </c>
      <c r="CZ79">
        <f t="shared" ref="CZ79:CZ110" si="96">(((S79+R79)*AU79)/100)</f>
        <v>467.41320000000002</v>
      </c>
      <c r="DC79" t="s">
        <v>6</v>
      </c>
      <c r="DD79" t="s">
        <v>6</v>
      </c>
      <c r="DE79" t="s">
        <v>174</v>
      </c>
      <c r="DF79" t="s">
        <v>174</v>
      </c>
      <c r="DG79" t="s">
        <v>175</v>
      </c>
      <c r="DH79" t="s">
        <v>6</v>
      </c>
      <c r="DI79" t="s">
        <v>175</v>
      </c>
      <c r="DJ79" t="s">
        <v>174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1005</v>
      </c>
      <c r="DV79" t="s">
        <v>18</v>
      </c>
      <c r="DW79" t="s">
        <v>18</v>
      </c>
      <c r="DX79">
        <v>100</v>
      </c>
      <c r="EE79">
        <v>16510487</v>
      </c>
      <c r="EF79">
        <v>2</v>
      </c>
      <c r="EG79" t="s">
        <v>20</v>
      </c>
      <c r="EH79">
        <v>0</v>
      </c>
      <c r="EI79" t="s">
        <v>6</v>
      </c>
      <c r="EJ79">
        <v>1</v>
      </c>
      <c r="EK79">
        <v>10001</v>
      </c>
      <c r="EL79" t="s">
        <v>176</v>
      </c>
      <c r="EM79" t="s">
        <v>177</v>
      </c>
      <c r="EO79" t="s">
        <v>178</v>
      </c>
      <c r="EQ79">
        <v>0</v>
      </c>
      <c r="ER79">
        <v>3493.69</v>
      </c>
      <c r="ES79">
        <v>1703.82</v>
      </c>
      <c r="ET79">
        <v>967.98</v>
      </c>
      <c r="EU79">
        <v>153.9</v>
      </c>
      <c r="EV79">
        <v>821.89</v>
      </c>
      <c r="EW79">
        <v>89.53</v>
      </c>
      <c r="EX79">
        <v>11.68</v>
      </c>
      <c r="EY79">
        <v>0</v>
      </c>
      <c r="FQ79">
        <v>0</v>
      </c>
      <c r="FR79">
        <f t="shared" ref="FR79:FR110" si="97">ROUND(IF(AND(BH79=3,BI79=3),P79,0),2)</f>
        <v>0</v>
      </c>
      <c r="FS79">
        <v>0</v>
      </c>
      <c r="FT79" t="s">
        <v>23</v>
      </c>
      <c r="FU79" t="s">
        <v>24</v>
      </c>
      <c r="FX79">
        <v>106.2</v>
      </c>
      <c r="FY79">
        <v>53.55</v>
      </c>
      <c r="GA79" t="s">
        <v>6</v>
      </c>
      <c r="GD79">
        <v>0</v>
      </c>
      <c r="GF79">
        <v>-2063365966</v>
      </c>
      <c r="GG79">
        <v>1</v>
      </c>
      <c r="GH79">
        <v>1</v>
      </c>
      <c r="GI79">
        <v>4</v>
      </c>
      <c r="GJ79">
        <v>0</v>
      </c>
      <c r="GK79">
        <f>ROUND(R79*(R12)/100,2)</f>
        <v>0</v>
      </c>
      <c r="GL79">
        <f t="shared" ref="GL79:GL110" si="98">ROUND(IF(AND(BH79=3,BI79=3,FS79&lt;&gt;0),P79,0),2)</f>
        <v>0</v>
      </c>
      <c r="GM79">
        <f t="shared" ref="GM79:GM110" si="99">ROUND(O79+X79+Y79+GK79,2)+GX79</f>
        <v>4105.1899999999996</v>
      </c>
      <c r="GN79">
        <f t="shared" ref="GN79:GN110" si="100">IF(OR(BI79=0,BI79=1),ROUND(O79+X79+Y79+GK79,2),0)</f>
        <v>4105.1899999999996</v>
      </c>
      <c r="GO79">
        <f t="shared" ref="GO79:GO110" si="101">IF(BI79=2,ROUND(O79+X79+Y79+GK79,2),0)</f>
        <v>0</v>
      </c>
      <c r="GP79">
        <f t="shared" ref="GP79:GP110" si="102">IF(BI79=4,ROUND(O79+X79+Y79+GK79,2)+GX79,0)</f>
        <v>0</v>
      </c>
      <c r="GR79">
        <v>0</v>
      </c>
      <c r="GS79">
        <v>3</v>
      </c>
      <c r="GT79">
        <v>0</v>
      </c>
      <c r="GU79" t="s">
        <v>6</v>
      </c>
      <c r="GV79">
        <f t="shared" ref="GV79:GV110" si="103">ROUND((GT79),2)</f>
        <v>0</v>
      </c>
      <c r="GW79">
        <v>1</v>
      </c>
      <c r="GX79">
        <f t="shared" ref="GX79:GX110" si="104">ROUND(HC79*I79,2)</f>
        <v>0</v>
      </c>
      <c r="HA79">
        <v>0</v>
      </c>
      <c r="HB79">
        <v>0</v>
      </c>
      <c r="HC79">
        <f t="shared" ref="HC79:HC110" si="105">GV79*GW79</f>
        <v>0</v>
      </c>
      <c r="IK79">
        <v>0</v>
      </c>
    </row>
    <row r="80" spans="1:245" x14ac:dyDescent="0.2">
      <c r="A80">
        <v>18</v>
      </c>
      <c r="B80">
        <v>1</v>
      </c>
      <c r="C80">
        <v>72</v>
      </c>
      <c r="E80" t="s">
        <v>179</v>
      </c>
      <c r="F80" t="s">
        <v>180</v>
      </c>
      <c r="G80" t="s">
        <v>181</v>
      </c>
      <c r="H80" t="s">
        <v>182</v>
      </c>
      <c r="I80">
        <f>I79*J80</f>
        <v>0</v>
      </c>
      <c r="J80">
        <v>0</v>
      </c>
      <c r="O80">
        <f t="shared" si="71"/>
        <v>0</v>
      </c>
      <c r="P80">
        <f t="shared" si="72"/>
        <v>0</v>
      </c>
      <c r="Q80">
        <f t="shared" si="73"/>
        <v>0</v>
      </c>
      <c r="R80">
        <f t="shared" si="74"/>
        <v>0</v>
      </c>
      <c r="S80">
        <f t="shared" si="75"/>
        <v>0</v>
      </c>
      <c r="T80">
        <f t="shared" si="76"/>
        <v>0</v>
      </c>
      <c r="U80">
        <f t="shared" si="77"/>
        <v>0</v>
      </c>
      <c r="V80">
        <f t="shared" si="78"/>
        <v>0</v>
      </c>
      <c r="W80">
        <f t="shared" si="79"/>
        <v>0</v>
      </c>
      <c r="X80">
        <f t="shared" si="80"/>
        <v>0</v>
      </c>
      <c r="Y80">
        <f t="shared" si="81"/>
        <v>0</v>
      </c>
      <c r="AA80">
        <v>16808636</v>
      </c>
      <c r="AB80">
        <f t="shared" si="82"/>
        <v>0</v>
      </c>
      <c r="AC80">
        <f t="shared" si="83"/>
        <v>0</v>
      </c>
      <c r="AD80">
        <f>ROUND((((ET80)-(EU80))+AE80),2)</f>
        <v>0</v>
      </c>
      <c r="AE80">
        <f t="shared" ref="AE80:AF83" si="106">ROUND((EU80),2)</f>
        <v>0</v>
      </c>
      <c r="AF80">
        <f t="shared" si="106"/>
        <v>0</v>
      </c>
      <c r="AG80">
        <f t="shared" si="84"/>
        <v>0</v>
      </c>
      <c r="AH80">
        <f t="shared" ref="AH80:AI83" si="107">(EW80)</f>
        <v>0</v>
      </c>
      <c r="AI80">
        <f t="shared" si="107"/>
        <v>0</v>
      </c>
      <c r="AJ80">
        <f t="shared" si="85"/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106</v>
      </c>
      <c r="AU80">
        <v>54</v>
      </c>
      <c r="AV80">
        <v>1</v>
      </c>
      <c r="AW80">
        <v>1</v>
      </c>
      <c r="AZ80">
        <v>6.71</v>
      </c>
      <c r="BA80">
        <v>1</v>
      </c>
      <c r="BB80">
        <v>1</v>
      </c>
      <c r="BC80">
        <v>6.71</v>
      </c>
      <c r="BD80" t="s">
        <v>6</v>
      </c>
      <c r="BE80" t="s">
        <v>6</v>
      </c>
      <c r="BF80" t="s">
        <v>6</v>
      </c>
      <c r="BG80" t="s">
        <v>6</v>
      </c>
      <c r="BH80">
        <v>3</v>
      </c>
      <c r="BI80">
        <v>1</v>
      </c>
      <c r="BJ80" t="s">
        <v>6</v>
      </c>
      <c r="BM80">
        <v>10001</v>
      </c>
      <c r="BN80">
        <v>0</v>
      </c>
      <c r="BO80" t="s">
        <v>6</v>
      </c>
      <c r="BP80">
        <v>0</v>
      </c>
      <c r="BQ80">
        <v>2</v>
      </c>
      <c r="BR80">
        <v>0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6</v>
      </c>
      <c r="BZ80">
        <v>118</v>
      </c>
      <c r="CA80">
        <v>63</v>
      </c>
      <c r="CE80">
        <v>0</v>
      </c>
      <c r="CF80">
        <v>0</v>
      </c>
      <c r="CG80">
        <v>0</v>
      </c>
      <c r="CM80">
        <v>0</v>
      </c>
      <c r="CN80" t="s">
        <v>1057</v>
      </c>
      <c r="CO80">
        <v>0</v>
      </c>
      <c r="CP80">
        <f t="shared" si="86"/>
        <v>0</v>
      </c>
      <c r="CQ80">
        <f t="shared" si="87"/>
        <v>0</v>
      </c>
      <c r="CR80">
        <f t="shared" si="88"/>
        <v>0</v>
      </c>
      <c r="CS80">
        <f t="shared" si="89"/>
        <v>0</v>
      </c>
      <c r="CT80">
        <f t="shared" si="90"/>
        <v>0</v>
      </c>
      <c r="CU80">
        <f t="shared" si="91"/>
        <v>0</v>
      </c>
      <c r="CV80">
        <f t="shared" si="92"/>
        <v>0</v>
      </c>
      <c r="CW80">
        <f t="shared" si="93"/>
        <v>0</v>
      </c>
      <c r="CX80">
        <f t="shared" si="94"/>
        <v>0</v>
      </c>
      <c r="CY80">
        <f t="shared" si="95"/>
        <v>0</v>
      </c>
      <c r="CZ80">
        <f t="shared" si="96"/>
        <v>0</v>
      </c>
      <c r="DC80" t="s">
        <v>6</v>
      </c>
      <c r="DD80" t="s">
        <v>6</v>
      </c>
      <c r="DE80" t="s">
        <v>6</v>
      </c>
      <c r="DF80" t="s">
        <v>6</v>
      </c>
      <c r="DG80" t="s">
        <v>6</v>
      </c>
      <c r="DH80" t="s">
        <v>6</v>
      </c>
      <c r="DI80" t="s">
        <v>6</v>
      </c>
      <c r="DJ80" t="s">
        <v>6</v>
      </c>
      <c r="DK80" t="s">
        <v>6</v>
      </c>
      <c r="DL80" t="s">
        <v>6</v>
      </c>
      <c r="DM80" t="s">
        <v>6</v>
      </c>
      <c r="DN80">
        <v>0</v>
      </c>
      <c r="DO80">
        <v>0</v>
      </c>
      <c r="DP80">
        <v>1</v>
      </c>
      <c r="DQ80">
        <v>1</v>
      </c>
      <c r="DU80">
        <v>1013</v>
      </c>
      <c r="DV80" t="s">
        <v>182</v>
      </c>
      <c r="DW80" t="s">
        <v>182</v>
      </c>
      <c r="DX80">
        <v>1</v>
      </c>
      <c r="EE80">
        <v>16510487</v>
      </c>
      <c r="EF80">
        <v>2</v>
      </c>
      <c r="EG80" t="s">
        <v>20</v>
      </c>
      <c r="EH80">
        <v>0</v>
      </c>
      <c r="EI80" t="s">
        <v>6</v>
      </c>
      <c r="EJ80">
        <v>1</v>
      </c>
      <c r="EK80">
        <v>10001</v>
      </c>
      <c r="EL80" t="s">
        <v>176</v>
      </c>
      <c r="EM80" t="s">
        <v>177</v>
      </c>
      <c r="EO80" t="s">
        <v>178</v>
      </c>
      <c r="EQ80">
        <v>0</v>
      </c>
      <c r="ER80">
        <v>0</v>
      </c>
      <c r="ES80">
        <v>0</v>
      </c>
      <c r="ET80">
        <v>0</v>
      </c>
      <c r="EU80">
        <v>0</v>
      </c>
      <c r="EV80">
        <v>0</v>
      </c>
      <c r="EW80">
        <v>0</v>
      </c>
      <c r="EX80">
        <v>0</v>
      </c>
      <c r="FQ80">
        <v>0</v>
      </c>
      <c r="FR80">
        <f t="shared" si="97"/>
        <v>0</v>
      </c>
      <c r="FS80">
        <v>0</v>
      </c>
      <c r="FT80" t="s">
        <v>23</v>
      </c>
      <c r="FU80" t="s">
        <v>24</v>
      </c>
      <c r="FX80">
        <v>106.2</v>
      </c>
      <c r="FY80">
        <v>53.55</v>
      </c>
      <c r="GA80" t="s">
        <v>6</v>
      </c>
      <c r="GD80">
        <v>0</v>
      </c>
      <c r="GF80">
        <v>296028110</v>
      </c>
      <c r="GG80">
        <v>1</v>
      </c>
      <c r="GH80">
        <v>1</v>
      </c>
      <c r="GI80">
        <v>4</v>
      </c>
      <c r="GJ80">
        <v>0</v>
      </c>
      <c r="GK80">
        <f>ROUND(R80*(R12)/100,2)</f>
        <v>0</v>
      </c>
      <c r="GL80">
        <f t="shared" si="98"/>
        <v>0</v>
      </c>
      <c r="GM80">
        <f t="shared" si="99"/>
        <v>0</v>
      </c>
      <c r="GN80">
        <f t="shared" si="100"/>
        <v>0</v>
      </c>
      <c r="GO80">
        <f t="shared" si="101"/>
        <v>0</v>
      </c>
      <c r="GP80">
        <f t="shared" si="102"/>
        <v>0</v>
      </c>
      <c r="GR80">
        <v>0</v>
      </c>
      <c r="GS80">
        <v>3</v>
      </c>
      <c r="GT80">
        <v>0</v>
      </c>
      <c r="GU80" t="s">
        <v>6</v>
      </c>
      <c r="GV80">
        <f t="shared" si="103"/>
        <v>0</v>
      </c>
      <c r="GW80">
        <v>1</v>
      </c>
      <c r="GX80">
        <f t="shared" si="104"/>
        <v>0</v>
      </c>
      <c r="HA80">
        <v>0</v>
      </c>
      <c r="HB80">
        <v>0</v>
      </c>
      <c r="HC80">
        <f t="shared" si="105"/>
        <v>0</v>
      </c>
      <c r="IK80">
        <v>0</v>
      </c>
    </row>
    <row r="81" spans="1:245" x14ac:dyDescent="0.2">
      <c r="A81">
        <v>18</v>
      </c>
      <c r="B81">
        <v>1</v>
      </c>
      <c r="C81">
        <v>71</v>
      </c>
      <c r="E81" t="s">
        <v>183</v>
      </c>
      <c r="F81" t="s">
        <v>184</v>
      </c>
      <c r="G81" t="s">
        <v>185</v>
      </c>
      <c r="H81" t="s">
        <v>182</v>
      </c>
      <c r="I81">
        <f>I79*J81</f>
        <v>5</v>
      </c>
      <c r="J81">
        <v>52.910052910052912</v>
      </c>
      <c r="O81">
        <f t="shared" si="71"/>
        <v>3176.51</v>
      </c>
      <c r="P81">
        <f t="shared" si="72"/>
        <v>3176.51</v>
      </c>
      <c r="Q81">
        <f t="shared" si="73"/>
        <v>0</v>
      </c>
      <c r="R81">
        <f t="shared" si="74"/>
        <v>0</v>
      </c>
      <c r="S81">
        <f t="shared" si="75"/>
        <v>0</v>
      </c>
      <c r="T81">
        <f t="shared" si="76"/>
        <v>0</v>
      </c>
      <c r="U81">
        <f t="shared" si="77"/>
        <v>0</v>
      </c>
      <c r="V81">
        <f t="shared" si="78"/>
        <v>0</v>
      </c>
      <c r="W81">
        <f t="shared" si="79"/>
        <v>0</v>
      </c>
      <c r="X81">
        <f t="shared" si="80"/>
        <v>0</v>
      </c>
      <c r="Y81">
        <f t="shared" si="81"/>
        <v>0</v>
      </c>
      <c r="AA81">
        <v>16808636</v>
      </c>
      <c r="AB81">
        <f t="shared" si="82"/>
        <v>94.68</v>
      </c>
      <c r="AC81">
        <f t="shared" si="83"/>
        <v>94.68</v>
      </c>
      <c r="AD81">
        <f>ROUND((((ET81)-(EU81))+AE81),2)</f>
        <v>0</v>
      </c>
      <c r="AE81">
        <f t="shared" si="106"/>
        <v>0</v>
      </c>
      <c r="AF81">
        <f t="shared" si="106"/>
        <v>0</v>
      </c>
      <c r="AG81">
        <f t="shared" si="84"/>
        <v>0</v>
      </c>
      <c r="AH81">
        <f t="shared" si="107"/>
        <v>0</v>
      </c>
      <c r="AI81">
        <f t="shared" si="107"/>
        <v>0</v>
      </c>
      <c r="AJ81">
        <f t="shared" si="85"/>
        <v>0</v>
      </c>
      <c r="AK81">
        <v>94.68</v>
      </c>
      <c r="AL81">
        <v>94.68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106</v>
      </c>
      <c r="AU81">
        <v>54</v>
      </c>
      <c r="AV81">
        <v>1</v>
      </c>
      <c r="AW81">
        <v>1</v>
      </c>
      <c r="AZ81">
        <v>6.71</v>
      </c>
      <c r="BA81">
        <v>1</v>
      </c>
      <c r="BB81">
        <v>1</v>
      </c>
      <c r="BC81">
        <v>6.71</v>
      </c>
      <c r="BD81" t="s">
        <v>6</v>
      </c>
      <c r="BE81" t="s">
        <v>6</v>
      </c>
      <c r="BF81" t="s">
        <v>6</v>
      </c>
      <c r="BG81" t="s">
        <v>6</v>
      </c>
      <c r="BH81">
        <v>3</v>
      </c>
      <c r="BI81">
        <v>1</v>
      </c>
      <c r="BJ81" t="s">
        <v>186</v>
      </c>
      <c r="BM81">
        <v>10001</v>
      </c>
      <c r="BN81">
        <v>0</v>
      </c>
      <c r="BO81" t="s">
        <v>6</v>
      </c>
      <c r="BP81">
        <v>0</v>
      </c>
      <c r="BQ81">
        <v>2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118</v>
      </c>
      <c r="CA81">
        <v>63</v>
      </c>
      <c r="CE81">
        <v>0</v>
      </c>
      <c r="CF81">
        <v>0</v>
      </c>
      <c r="CG81">
        <v>0</v>
      </c>
      <c r="CM81">
        <v>0</v>
      </c>
      <c r="CN81" t="s">
        <v>1057</v>
      </c>
      <c r="CO81">
        <v>0</v>
      </c>
      <c r="CP81">
        <f t="shared" si="86"/>
        <v>3176.51</v>
      </c>
      <c r="CQ81">
        <f t="shared" si="87"/>
        <v>635.30280000000005</v>
      </c>
      <c r="CR81">
        <f t="shared" si="88"/>
        <v>0</v>
      </c>
      <c r="CS81">
        <f t="shared" si="89"/>
        <v>0</v>
      </c>
      <c r="CT81">
        <f t="shared" si="90"/>
        <v>0</v>
      </c>
      <c r="CU81">
        <f t="shared" si="91"/>
        <v>0</v>
      </c>
      <c r="CV81">
        <f t="shared" si="92"/>
        <v>0</v>
      </c>
      <c r="CW81">
        <f t="shared" si="93"/>
        <v>0</v>
      </c>
      <c r="CX81">
        <f t="shared" si="94"/>
        <v>0</v>
      </c>
      <c r="CY81">
        <f t="shared" si="95"/>
        <v>0</v>
      </c>
      <c r="CZ81">
        <f t="shared" si="96"/>
        <v>0</v>
      </c>
      <c r="DC81" t="s">
        <v>6</v>
      </c>
      <c r="DD81" t="s">
        <v>6</v>
      </c>
      <c r="DE81" t="s">
        <v>6</v>
      </c>
      <c r="DF81" t="s">
        <v>6</v>
      </c>
      <c r="DG81" t="s">
        <v>6</v>
      </c>
      <c r="DH81" t="s">
        <v>6</v>
      </c>
      <c r="DI81" t="s">
        <v>6</v>
      </c>
      <c r="DJ81" t="s">
        <v>6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1013</v>
      </c>
      <c r="DV81" t="s">
        <v>182</v>
      </c>
      <c r="DW81" t="s">
        <v>182</v>
      </c>
      <c r="DX81">
        <v>1</v>
      </c>
      <c r="EE81">
        <v>16510487</v>
      </c>
      <c r="EF81">
        <v>2</v>
      </c>
      <c r="EG81" t="s">
        <v>20</v>
      </c>
      <c r="EH81">
        <v>0</v>
      </c>
      <c r="EI81" t="s">
        <v>6</v>
      </c>
      <c r="EJ81">
        <v>1</v>
      </c>
      <c r="EK81">
        <v>10001</v>
      </c>
      <c r="EL81" t="s">
        <v>176</v>
      </c>
      <c r="EM81" t="s">
        <v>177</v>
      </c>
      <c r="EO81" t="s">
        <v>178</v>
      </c>
      <c r="EQ81">
        <v>0</v>
      </c>
      <c r="ER81">
        <v>94.68</v>
      </c>
      <c r="ES81">
        <v>94.68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97"/>
        <v>0</v>
      </c>
      <c r="FS81">
        <v>0</v>
      </c>
      <c r="FT81" t="s">
        <v>23</v>
      </c>
      <c r="FU81" t="s">
        <v>24</v>
      </c>
      <c r="FX81">
        <v>106.2</v>
      </c>
      <c r="FY81">
        <v>53.55</v>
      </c>
      <c r="GA81" t="s">
        <v>6</v>
      </c>
      <c r="GD81">
        <v>0</v>
      </c>
      <c r="GF81">
        <v>-347778458</v>
      </c>
      <c r="GG81">
        <v>1</v>
      </c>
      <c r="GH81">
        <v>1</v>
      </c>
      <c r="GI81">
        <v>4</v>
      </c>
      <c r="GJ81">
        <v>0</v>
      </c>
      <c r="GK81">
        <f>ROUND(R81*(R12)/100,2)</f>
        <v>0</v>
      </c>
      <c r="GL81">
        <f t="shared" si="98"/>
        <v>0</v>
      </c>
      <c r="GM81">
        <f t="shared" si="99"/>
        <v>3176.51</v>
      </c>
      <c r="GN81">
        <f t="shared" si="100"/>
        <v>3176.51</v>
      </c>
      <c r="GO81">
        <f t="shared" si="101"/>
        <v>0</v>
      </c>
      <c r="GP81">
        <f t="shared" si="102"/>
        <v>0</v>
      </c>
      <c r="GR81">
        <v>0</v>
      </c>
      <c r="GS81">
        <v>3</v>
      </c>
      <c r="GT81">
        <v>0</v>
      </c>
      <c r="GU81" t="s">
        <v>6</v>
      </c>
      <c r="GV81">
        <f t="shared" si="103"/>
        <v>0</v>
      </c>
      <c r="GW81">
        <v>1</v>
      </c>
      <c r="GX81">
        <f t="shared" si="104"/>
        <v>0</v>
      </c>
      <c r="HA81">
        <v>0</v>
      </c>
      <c r="HB81">
        <v>0</v>
      </c>
      <c r="HC81">
        <f t="shared" si="105"/>
        <v>0</v>
      </c>
      <c r="IK81">
        <v>0</v>
      </c>
    </row>
    <row r="82" spans="1:245" x14ac:dyDescent="0.2">
      <c r="A82">
        <v>18</v>
      </c>
      <c r="B82">
        <v>1</v>
      </c>
      <c r="C82">
        <v>76</v>
      </c>
      <c r="E82" t="s">
        <v>187</v>
      </c>
      <c r="F82" t="s">
        <v>188</v>
      </c>
      <c r="G82" t="s">
        <v>189</v>
      </c>
      <c r="H82" t="s">
        <v>190</v>
      </c>
      <c r="I82">
        <f>I79*J82</f>
        <v>9.4499999999999993</v>
      </c>
      <c r="J82">
        <v>99.999999999999986</v>
      </c>
      <c r="O82">
        <f t="shared" si="71"/>
        <v>0</v>
      </c>
      <c r="P82">
        <f t="shared" si="72"/>
        <v>0</v>
      </c>
      <c r="Q82">
        <f t="shared" si="73"/>
        <v>0</v>
      </c>
      <c r="R82">
        <f t="shared" si="74"/>
        <v>0</v>
      </c>
      <c r="S82">
        <f t="shared" si="75"/>
        <v>0</v>
      </c>
      <c r="T82">
        <f t="shared" si="76"/>
        <v>0</v>
      </c>
      <c r="U82">
        <f t="shared" si="77"/>
        <v>0</v>
      </c>
      <c r="V82">
        <f t="shared" si="78"/>
        <v>0</v>
      </c>
      <c r="W82">
        <f t="shared" si="79"/>
        <v>0</v>
      </c>
      <c r="X82">
        <f t="shared" si="80"/>
        <v>0</v>
      </c>
      <c r="Y82">
        <f t="shared" si="81"/>
        <v>0</v>
      </c>
      <c r="AA82">
        <v>16808636</v>
      </c>
      <c r="AB82">
        <f t="shared" si="82"/>
        <v>0</v>
      </c>
      <c r="AC82">
        <f t="shared" si="83"/>
        <v>0</v>
      </c>
      <c r="AD82">
        <f>ROUND((((ET82)-(EU82))+AE82),2)</f>
        <v>0</v>
      </c>
      <c r="AE82">
        <f t="shared" si="106"/>
        <v>0</v>
      </c>
      <c r="AF82">
        <f t="shared" si="106"/>
        <v>0</v>
      </c>
      <c r="AG82">
        <f t="shared" si="84"/>
        <v>0</v>
      </c>
      <c r="AH82">
        <f t="shared" si="107"/>
        <v>0</v>
      </c>
      <c r="AI82">
        <f t="shared" si="107"/>
        <v>0</v>
      </c>
      <c r="AJ82">
        <f t="shared" si="85"/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106</v>
      </c>
      <c r="AU82">
        <v>54</v>
      </c>
      <c r="AV82">
        <v>1</v>
      </c>
      <c r="AW82">
        <v>1</v>
      </c>
      <c r="AZ82">
        <v>6.71</v>
      </c>
      <c r="BA82">
        <v>1</v>
      </c>
      <c r="BB82">
        <v>1</v>
      </c>
      <c r="BC82">
        <v>6.71</v>
      </c>
      <c r="BD82" t="s">
        <v>6</v>
      </c>
      <c r="BE82" t="s">
        <v>6</v>
      </c>
      <c r="BF82" t="s">
        <v>6</v>
      </c>
      <c r="BG82" t="s">
        <v>6</v>
      </c>
      <c r="BH82">
        <v>3</v>
      </c>
      <c r="BI82">
        <v>1</v>
      </c>
      <c r="BJ82" t="s">
        <v>6</v>
      </c>
      <c r="BM82">
        <v>10001</v>
      </c>
      <c r="BN82">
        <v>0</v>
      </c>
      <c r="BO82" t="s">
        <v>6</v>
      </c>
      <c r="BP82">
        <v>0</v>
      </c>
      <c r="BQ82">
        <v>2</v>
      </c>
      <c r="BR82">
        <v>0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6</v>
      </c>
      <c r="BZ82">
        <v>118</v>
      </c>
      <c r="CA82">
        <v>63</v>
      </c>
      <c r="CE82">
        <v>0</v>
      </c>
      <c r="CF82">
        <v>0</v>
      </c>
      <c r="CG82">
        <v>0</v>
      </c>
      <c r="CM82">
        <v>0</v>
      </c>
      <c r="CN82" t="s">
        <v>1057</v>
      </c>
      <c r="CO82">
        <v>0</v>
      </c>
      <c r="CP82">
        <f t="shared" si="86"/>
        <v>0</v>
      </c>
      <c r="CQ82">
        <f t="shared" si="87"/>
        <v>0</v>
      </c>
      <c r="CR82">
        <f t="shared" si="88"/>
        <v>0</v>
      </c>
      <c r="CS82">
        <f t="shared" si="89"/>
        <v>0</v>
      </c>
      <c r="CT82">
        <f t="shared" si="90"/>
        <v>0</v>
      </c>
      <c r="CU82">
        <f t="shared" si="91"/>
        <v>0</v>
      </c>
      <c r="CV82">
        <f t="shared" si="92"/>
        <v>0</v>
      </c>
      <c r="CW82">
        <f t="shared" si="93"/>
        <v>0</v>
      </c>
      <c r="CX82">
        <f t="shared" si="94"/>
        <v>0</v>
      </c>
      <c r="CY82">
        <f t="shared" si="95"/>
        <v>0</v>
      </c>
      <c r="CZ82">
        <f t="shared" si="96"/>
        <v>0</v>
      </c>
      <c r="DC82" t="s">
        <v>6</v>
      </c>
      <c r="DD82" t="s">
        <v>6</v>
      </c>
      <c r="DE82" t="s">
        <v>6</v>
      </c>
      <c r="DF82" t="s">
        <v>6</v>
      </c>
      <c r="DG82" t="s">
        <v>6</v>
      </c>
      <c r="DH82" t="s">
        <v>6</v>
      </c>
      <c r="DI82" t="s">
        <v>6</v>
      </c>
      <c r="DJ82" t="s">
        <v>6</v>
      </c>
      <c r="DK82" t="s">
        <v>6</v>
      </c>
      <c r="DL82" t="s">
        <v>6</v>
      </c>
      <c r="DM82" t="s">
        <v>6</v>
      </c>
      <c r="DN82">
        <v>0</v>
      </c>
      <c r="DO82">
        <v>0</v>
      </c>
      <c r="DP82">
        <v>1</v>
      </c>
      <c r="DQ82">
        <v>1</v>
      </c>
      <c r="DU82">
        <v>1005</v>
      </c>
      <c r="DV82" t="s">
        <v>190</v>
      </c>
      <c r="DW82" t="s">
        <v>190</v>
      </c>
      <c r="DX82">
        <v>1</v>
      </c>
      <c r="EE82">
        <v>16510487</v>
      </c>
      <c r="EF82">
        <v>2</v>
      </c>
      <c r="EG82" t="s">
        <v>20</v>
      </c>
      <c r="EH82">
        <v>0</v>
      </c>
      <c r="EI82" t="s">
        <v>6</v>
      </c>
      <c r="EJ82">
        <v>1</v>
      </c>
      <c r="EK82">
        <v>10001</v>
      </c>
      <c r="EL82" t="s">
        <v>176</v>
      </c>
      <c r="EM82" t="s">
        <v>177</v>
      </c>
      <c r="EO82" t="s">
        <v>178</v>
      </c>
      <c r="EQ82">
        <v>0</v>
      </c>
      <c r="ER82">
        <v>0</v>
      </c>
      <c r="ES82">
        <v>0</v>
      </c>
      <c r="ET82">
        <v>0</v>
      </c>
      <c r="EU82">
        <v>0</v>
      </c>
      <c r="EV82">
        <v>0</v>
      </c>
      <c r="EW82">
        <v>0</v>
      </c>
      <c r="EX82">
        <v>0</v>
      </c>
      <c r="FQ82">
        <v>0</v>
      </c>
      <c r="FR82">
        <f t="shared" si="97"/>
        <v>0</v>
      </c>
      <c r="FS82">
        <v>0</v>
      </c>
      <c r="FT82" t="s">
        <v>23</v>
      </c>
      <c r="FU82" t="s">
        <v>24</v>
      </c>
      <c r="FX82">
        <v>106.2</v>
      </c>
      <c r="FY82">
        <v>53.55</v>
      </c>
      <c r="GA82" t="s">
        <v>6</v>
      </c>
      <c r="GD82">
        <v>0</v>
      </c>
      <c r="GF82">
        <v>-732808487</v>
      </c>
      <c r="GG82">
        <v>1</v>
      </c>
      <c r="GH82">
        <v>1</v>
      </c>
      <c r="GI82">
        <v>4</v>
      </c>
      <c r="GJ82">
        <v>0</v>
      </c>
      <c r="GK82">
        <f>ROUND(R82*(R12)/100,2)</f>
        <v>0</v>
      </c>
      <c r="GL82">
        <f t="shared" si="98"/>
        <v>0</v>
      </c>
      <c r="GM82">
        <f t="shared" si="99"/>
        <v>0</v>
      </c>
      <c r="GN82">
        <f t="shared" si="100"/>
        <v>0</v>
      </c>
      <c r="GO82">
        <f t="shared" si="101"/>
        <v>0</v>
      </c>
      <c r="GP82">
        <f t="shared" si="102"/>
        <v>0</v>
      </c>
      <c r="GR82">
        <v>0</v>
      </c>
      <c r="GS82">
        <v>3</v>
      </c>
      <c r="GT82">
        <v>0</v>
      </c>
      <c r="GU82" t="s">
        <v>6</v>
      </c>
      <c r="GV82">
        <f t="shared" si="103"/>
        <v>0</v>
      </c>
      <c r="GW82">
        <v>1</v>
      </c>
      <c r="GX82">
        <f t="shared" si="104"/>
        <v>0</v>
      </c>
      <c r="HA82">
        <v>0</v>
      </c>
      <c r="HB82">
        <v>0</v>
      </c>
      <c r="HC82">
        <f t="shared" si="105"/>
        <v>0</v>
      </c>
      <c r="IK82">
        <v>0</v>
      </c>
    </row>
    <row r="83" spans="1:245" x14ac:dyDescent="0.2">
      <c r="A83">
        <v>18</v>
      </c>
      <c r="B83">
        <v>1</v>
      </c>
      <c r="C83">
        <v>77</v>
      </c>
      <c r="E83" t="s">
        <v>191</v>
      </c>
      <c r="F83" t="s">
        <v>192</v>
      </c>
      <c r="G83" t="s">
        <v>193</v>
      </c>
      <c r="H83" t="s">
        <v>190</v>
      </c>
      <c r="I83">
        <f>I79*J83</f>
        <v>9.4499999999999993</v>
      </c>
      <c r="J83">
        <v>99.999999999999986</v>
      </c>
      <c r="O83">
        <f t="shared" si="71"/>
        <v>91867.68</v>
      </c>
      <c r="P83">
        <f t="shared" si="72"/>
        <v>91867.68</v>
      </c>
      <c r="Q83">
        <f t="shared" si="73"/>
        <v>0</v>
      </c>
      <c r="R83">
        <f t="shared" si="74"/>
        <v>0</v>
      </c>
      <c r="S83">
        <f t="shared" si="75"/>
        <v>0</v>
      </c>
      <c r="T83">
        <f t="shared" si="76"/>
        <v>0</v>
      </c>
      <c r="U83">
        <f t="shared" si="77"/>
        <v>0</v>
      </c>
      <c r="V83">
        <f t="shared" si="78"/>
        <v>0</v>
      </c>
      <c r="W83">
        <f t="shared" si="79"/>
        <v>0</v>
      </c>
      <c r="X83">
        <f t="shared" si="80"/>
        <v>0</v>
      </c>
      <c r="Y83">
        <f t="shared" si="81"/>
        <v>0</v>
      </c>
      <c r="AA83">
        <v>16808636</v>
      </c>
      <c r="AB83">
        <f t="shared" si="82"/>
        <v>1448.8</v>
      </c>
      <c r="AC83">
        <f t="shared" si="83"/>
        <v>1448.8</v>
      </c>
      <c r="AD83">
        <f>ROUND((((ET83)-(EU83))+AE83),2)</f>
        <v>0</v>
      </c>
      <c r="AE83">
        <f t="shared" si="106"/>
        <v>0</v>
      </c>
      <c r="AF83">
        <f t="shared" si="106"/>
        <v>0</v>
      </c>
      <c r="AG83">
        <f t="shared" si="84"/>
        <v>0</v>
      </c>
      <c r="AH83">
        <f t="shared" si="107"/>
        <v>0</v>
      </c>
      <c r="AI83">
        <f t="shared" si="107"/>
        <v>0</v>
      </c>
      <c r="AJ83">
        <f t="shared" si="85"/>
        <v>0</v>
      </c>
      <c r="AK83">
        <v>1448.8</v>
      </c>
      <c r="AL83">
        <v>1448.8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106</v>
      </c>
      <c r="AU83">
        <v>54</v>
      </c>
      <c r="AV83">
        <v>1</v>
      </c>
      <c r="AW83">
        <v>1</v>
      </c>
      <c r="AZ83">
        <v>6.71</v>
      </c>
      <c r="BA83">
        <v>1</v>
      </c>
      <c r="BB83">
        <v>1</v>
      </c>
      <c r="BC83">
        <v>6.71</v>
      </c>
      <c r="BD83" t="s">
        <v>6</v>
      </c>
      <c r="BE83" t="s">
        <v>6</v>
      </c>
      <c r="BF83" t="s">
        <v>6</v>
      </c>
      <c r="BG83" t="s">
        <v>6</v>
      </c>
      <c r="BH83">
        <v>3</v>
      </c>
      <c r="BI83">
        <v>1</v>
      </c>
      <c r="BJ83" t="s">
        <v>194</v>
      </c>
      <c r="BM83">
        <v>10001</v>
      </c>
      <c r="BN83">
        <v>0</v>
      </c>
      <c r="BO83" t="s">
        <v>6</v>
      </c>
      <c r="BP83">
        <v>0</v>
      </c>
      <c r="BQ83">
        <v>2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118</v>
      </c>
      <c r="CA83">
        <v>63</v>
      </c>
      <c r="CE83">
        <v>0</v>
      </c>
      <c r="CF83">
        <v>0</v>
      </c>
      <c r="CG83">
        <v>0</v>
      </c>
      <c r="CM83">
        <v>0</v>
      </c>
      <c r="CN83" t="s">
        <v>1057</v>
      </c>
      <c r="CO83">
        <v>0</v>
      </c>
      <c r="CP83">
        <f t="shared" si="86"/>
        <v>91867.68</v>
      </c>
      <c r="CQ83">
        <f t="shared" si="87"/>
        <v>9721.4480000000003</v>
      </c>
      <c r="CR83">
        <f t="shared" si="88"/>
        <v>0</v>
      </c>
      <c r="CS83">
        <f t="shared" si="89"/>
        <v>0</v>
      </c>
      <c r="CT83">
        <f t="shared" si="90"/>
        <v>0</v>
      </c>
      <c r="CU83">
        <f t="shared" si="91"/>
        <v>0</v>
      </c>
      <c r="CV83">
        <f t="shared" si="92"/>
        <v>0</v>
      </c>
      <c r="CW83">
        <f t="shared" si="93"/>
        <v>0</v>
      </c>
      <c r="CX83">
        <f t="shared" si="94"/>
        <v>0</v>
      </c>
      <c r="CY83">
        <f t="shared" si="95"/>
        <v>0</v>
      </c>
      <c r="CZ83">
        <f t="shared" si="96"/>
        <v>0</v>
      </c>
      <c r="DC83" t="s">
        <v>6</v>
      </c>
      <c r="DD83" t="s">
        <v>6</v>
      </c>
      <c r="DE83" t="s">
        <v>6</v>
      </c>
      <c r="DF83" t="s">
        <v>6</v>
      </c>
      <c r="DG83" t="s">
        <v>6</v>
      </c>
      <c r="DH83" t="s">
        <v>6</v>
      </c>
      <c r="DI83" t="s">
        <v>6</v>
      </c>
      <c r="DJ83" t="s">
        <v>6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1005</v>
      </c>
      <c r="DV83" t="s">
        <v>190</v>
      </c>
      <c r="DW83" t="s">
        <v>190</v>
      </c>
      <c r="DX83">
        <v>1</v>
      </c>
      <c r="EE83">
        <v>16510487</v>
      </c>
      <c r="EF83">
        <v>2</v>
      </c>
      <c r="EG83" t="s">
        <v>20</v>
      </c>
      <c r="EH83">
        <v>0</v>
      </c>
      <c r="EI83" t="s">
        <v>6</v>
      </c>
      <c r="EJ83">
        <v>1</v>
      </c>
      <c r="EK83">
        <v>10001</v>
      </c>
      <c r="EL83" t="s">
        <v>176</v>
      </c>
      <c r="EM83" t="s">
        <v>177</v>
      </c>
      <c r="EO83" t="s">
        <v>178</v>
      </c>
      <c r="EQ83">
        <v>0</v>
      </c>
      <c r="ER83">
        <v>1448.8</v>
      </c>
      <c r="ES83">
        <v>1448.8</v>
      </c>
      <c r="ET83">
        <v>0</v>
      </c>
      <c r="EU83">
        <v>0</v>
      </c>
      <c r="EV83">
        <v>0</v>
      </c>
      <c r="EW83">
        <v>0</v>
      </c>
      <c r="EX83">
        <v>0</v>
      </c>
      <c r="FQ83">
        <v>0</v>
      </c>
      <c r="FR83">
        <f t="shared" si="97"/>
        <v>0</v>
      </c>
      <c r="FS83">
        <v>0</v>
      </c>
      <c r="FT83" t="s">
        <v>23</v>
      </c>
      <c r="FU83" t="s">
        <v>24</v>
      </c>
      <c r="FX83">
        <v>106.2</v>
      </c>
      <c r="FY83">
        <v>53.55</v>
      </c>
      <c r="GA83" t="s">
        <v>6</v>
      </c>
      <c r="GD83">
        <v>0</v>
      </c>
      <c r="GF83">
        <v>-863452992</v>
      </c>
      <c r="GG83">
        <v>1</v>
      </c>
      <c r="GH83">
        <v>1</v>
      </c>
      <c r="GI83">
        <v>4</v>
      </c>
      <c r="GJ83">
        <v>0</v>
      </c>
      <c r="GK83">
        <f>ROUND(R83*(R12)/100,2)</f>
        <v>0</v>
      </c>
      <c r="GL83">
        <f t="shared" si="98"/>
        <v>0</v>
      </c>
      <c r="GM83">
        <f t="shared" si="99"/>
        <v>91867.68</v>
      </c>
      <c r="GN83">
        <f t="shared" si="100"/>
        <v>91867.68</v>
      </c>
      <c r="GO83">
        <f t="shared" si="101"/>
        <v>0</v>
      </c>
      <c r="GP83">
        <f t="shared" si="102"/>
        <v>0</v>
      </c>
      <c r="GR83">
        <v>0</v>
      </c>
      <c r="GS83">
        <v>3</v>
      </c>
      <c r="GT83">
        <v>0</v>
      </c>
      <c r="GU83" t="s">
        <v>6</v>
      </c>
      <c r="GV83">
        <f t="shared" si="103"/>
        <v>0</v>
      </c>
      <c r="GW83">
        <v>1</v>
      </c>
      <c r="GX83">
        <f t="shared" si="104"/>
        <v>0</v>
      </c>
      <c r="HA83">
        <v>0</v>
      </c>
      <c r="HB83">
        <v>0</v>
      </c>
      <c r="HC83">
        <f t="shared" si="105"/>
        <v>0</v>
      </c>
      <c r="IK83">
        <v>0</v>
      </c>
    </row>
    <row r="84" spans="1:245" x14ac:dyDescent="0.2">
      <c r="A84">
        <v>17</v>
      </c>
      <c r="B84">
        <v>1</v>
      </c>
      <c r="C84">
        <f>ROW(SmtRes!A84)</f>
        <v>84</v>
      </c>
      <c r="D84">
        <f>ROW(EtalonRes!A88)</f>
        <v>88</v>
      </c>
      <c r="E84" t="s">
        <v>195</v>
      </c>
      <c r="F84" t="s">
        <v>196</v>
      </c>
      <c r="G84" t="s">
        <v>197</v>
      </c>
      <c r="H84" t="s">
        <v>40</v>
      </c>
      <c r="I84">
        <f>ROUND(50/100,9)</f>
        <v>0.5</v>
      </c>
      <c r="J84">
        <v>0</v>
      </c>
      <c r="O84">
        <f t="shared" si="71"/>
        <v>337.58</v>
      </c>
      <c r="P84">
        <f t="shared" si="72"/>
        <v>28.52</v>
      </c>
      <c r="Q84">
        <f t="shared" si="73"/>
        <v>13.25</v>
      </c>
      <c r="R84">
        <f t="shared" si="74"/>
        <v>2.31</v>
      </c>
      <c r="S84">
        <f t="shared" si="75"/>
        <v>295.81</v>
      </c>
      <c r="T84">
        <f t="shared" si="76"/>
        <v>0</v>
      </c>
      <c r="U84">
        <f t="shared" si="77"/>
        <v>5.3958000000000004</v>
      </c>
      <c r="V84">
        <f t="shared" si="78"/>
        <v>0.03</v>
      </c>
      <c r="W84">
        <f t="shared" si="79"/>
        <v>0</v>
      </c>
      <c r="X84">
        <f t="shared" si="80"/>
        <v>316.01</v>
      </c>
      <c r="Y84">
        <f t="shared" si="81"/>
        <v>160.97999999999999</v>
      </c>
      <c r="AA84">
        <v>16808636</v>
      </c>
      <c r="AB84">
        <f t="shared" si="82"/>
        <v>100.62</v>
      </c>
      <c r="AC84">
        <f t="shared" si="83"/>
        <v>8.5</v>
      </c>
      <c r="AD84">
        <f>ROUND((((((ET84*1.25)*1.2))-(((EU84*1.25)*1.2)))+AE84),2)</f>
        <v>3.95</v>
      </c>
      <c r="AE84">
        <f>ROUND((((EU84*1.25)*1.2)),2)</f>
        <v>0.69</v>
      </c>
      <c r="AF84">
        <f>ROUND((((EV84*1.15)*1.2)),2)</f>
        <v>88.17</v>
      </c>
      <c r="AG84">
        <f t="shared" si="84"/>
        <v>0</v>
      </c>
      <c r="AH84">
        <f>(((EW84*1.15)*1.2))</f>
        <v>10.791600000000001</v>
      </c>
      <c r="AI84">
        <f>(((EX84*1.25)*1.2))</f>
        <v>0.06</v>
      </c>
      <c r="AJ84">
        <f t="shared" si="85"/>
        <v>0</v>
      </c>
      <c r="AK84">
        <v>75.02</v>
      </c>
      <c r="AL84">
        <v>8.5</v>
      </c>
      <c r="AM84">
        <v>2.63</v>
      </c>
      <c r="AN84">
        <v>0.46</v>
      </c>
      <c r="AO84">
        <v>63.89</v>
      </c>
      <c r="AP84">
        <v>0</v>
      </c>
      <c r="AQ84">
        <v>7.82</v>
      </c>
      <c r="AR84">
        <v>0.04</v>
      </c>
      <c r="AS84">
        <v>0</v>
      </c>
      <c r="AT84">
        <v>106</v>
      </c>
      <c r="AU84">
        <v>54</v>
      </c>
      <c r="AV84">
        <v>1</v>
      </c>
      <c r="AW84">
        <v>1</v>
      </c>
      <c r="AZ84">
        <v>6.71</v>
      </c>
      <c r="BA84">
        <v>6.71</v>
      </c>
      <c r="BB84">
        <v>6.71</v>
      </c>
      <c r="BC84">
        <v>6.71</v>
      </c>
      <c r="BD84" t="s">
        <v>6</v>
      </c>
      <c r="BE84" t="s">
        <v>6</v>
      </c>
      <c r="BF84" t="s">
        <v>6</v>
      </c>
      <c r="BG84" t="s">
        <v>6</v>
      </c>
      <c r="BH84">
        <v>0</v>
      </c>
      <c r="BI84">
        <v>1</v>
      </c>
      <c r="BJ84" t="s">
        <v>198</v>
      </c>
      <c r="BM84">
        <v>10001</v>
      </c>
      <c r="BN84">
        <v>0</v>
      </c>
      <c r="BO84" t="s">
        <v>6</v>
      </c>
      <c r="BP84">
        <v>0</v>
      </c>
      <c r="BQ84">
        <v>2</v>
      </c>
      <c r="BR84">
        <v>0</v>
      </c>
      <c r="BS84">
        <v>6.71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6</v>
      </c>
      <c r="BZ84">
        <v>118</v>
      </c>
      <c r="CA84">
        <v>63</v>
      </c>
      <c r="CE84">
        <v>0</v>
      </c>
      <c r="CF84">
        <v>0</v>
      </c>
      <c r="CG84">
        <v>0</v>
      </c>
      <c r="CM84">
        <v>0</v>
      </c>
      <c r="CN84" t="s">
        <v>1057</v>
      </c>
      <c r="CO84">
        <v>0</v>
      </c>
      <c r="CP84">
        <f t="shared" si="86"/>
        <v>337.58</v>
      </c>
      <c r="CQ84">
        <f t="shared" si="87"/>
        <v>57.034999999999997</v>
      </c>
      <c r="CR84">
        <f t="shared" si="88"/>
        <v>26.5045</v>
      </c>
      <c r="CS84">
        <f t="shared" si="89"/>
        <v>4.6298999999999992</v>
      </c>
      <c r="CT84">
        <f t="shared" si="90"/>
        <v>591.62070000000006</v>
      </c>
      <c r="CU84">
        <f t="shared" si="91"/>
        <v>0</v>
      </c>
      <c r="CV84">
        <f t="shared" si="92"/>
        <v>10.791600000000001</v>
      </c>
      <c r="CW84">
        <f t="shared" si="93"/>
        <v>0.06</v>
      </c>
      <c r="CX84">
        <f t="shared" si="94"/>
        <v>0</v>
      </c>
      <c r="CY84">
        <f t="shared" si="95"/>
        <v>316.00720000000001</v>
      </c>
      <c r="CZ84">
        <f t="shared" si="96"/>
        <v>160.98480000000001</v>
      </c>
      <c r="DC84" t="s">
        <v>6</v>
      </c>
      <c r="DD84" t="s">
        <v>6</v>
      </c>
      <c r="DE84" t="s">
        <v>174</v>
      </c>
      <c r="DF84" t="s">
        <v>174</v>
      </c>
      <c r="DG84" t="s">
        <v>175</v>
      </c>
      <c r="DH84" t="s">
        <v>6</v>
      </c>
      <c r="DI84" t="s">
        <v>175</v>
      </c>
      <c r="DJ84" t="s">
        <v>174</v>
      </c>
      <c r="DK84" t="s">
        <v>6</v>
      </c>
      <c r="DL84" t="s">
        <v>6</v>
      </c>
      <c r="DM84" t="s">
        <v>6</v>
      </c>
      <c r="DN84">
        <v>0</v>
      </c>
      <c r="DO84">
        <v>0</v>
      </c>
      <c r="DP84">
        <v>1</v>
      </c>
      <c r="DQ84">
        <v>1</v>
      </c>
      <c r="DU84">
        <v>1003</v>
      </c>
      <c r="DV84" t="s">
        <v>40</v>
      </c>
      <c r="DW84" t="s">
        <v>40</v>
      </c>
      <c r="DX84">
        <v>100</v>
      </c>
      <c r="EE84">
        <v>16510487</v>
      </c>
      <c r="EF84">
        <v>2</v>
      </c>
      <c r="EG84" t="s">
        <v>20</v>
      </c>
      <c r="EH84">
        <v>0</v>
      </c>
      <c r="EI84" t="s">
        <v>6</v>
      </c>
      <c r="EJ84">
        <v>1</v>
      </c>
      <c r="EK84">
        <v>10001</v>
      </c>
      <c r="EL84" t="s">
        <v>176</v>
      </c>
      <c r="EM84" t="s">
        <v>177</v>
      </c>
      <c r="EO84" t="s">
        <v>178</v>
      </c>
      <c r="EQ84">
        <v>0</v>
      </c>
      <c r="ER84">
        <v>75.02</v>
      </c>
      <c r="ES84">
        <v>8.5</v>
      </c>
      <c r="ET84">
        <v>2.63</v>
      </c>
      <c r="EU84">
        <v>0.46</v>
      </c>
      <c r="EV84">
        <v>63.89</v>
      </c>
      <c r="EW84">
        <v>7.82</v>
      </c>
      <c r="EX84">
        <v>0.04</v>
      </c>
      <c r="EY84">
        <v>0</v>
      </c>
      <c r="FQ84">
        <v>0</v>
      </c>
      <c r="FR84">
        <f t="shared" si="97"/>
        <v>0</v>
      </c>
      <c r="FS84">
        <v>0</v>
      </c>
      <c r="FT84" t="s">
        <v>23</v>
      </c>
      <c r="FU84" t="s">
        <v>24</v>
      </c>
      <c r="FX84">
        <v>106.2</v>
      </c>
      <c r="FY84">
        <v>53.55</v>
      </c>
      <c r="GA84" t="s">
        <v>6</v>
      </c>
      <c r="GD84">
        <v>0</v>
      </c>
      <c r="GF84">
        <v>-971434034</v>
      </c>
      <c r="GG84">
        <v>1</v>
      </c>
      <c r="GH84">
        <v>1</v>
      </c>
      <c r="GI84">
        <v>4</v>
      </c>
      <c r="GJ84">
        <v>0</v>
      </c>
      <c r="GK84">
        <f>ROUND(R84*(R12)/100,2)</f>
        <v>0</v>
      </c>
      <c r="GL84">
        <f t="shared" si="98"/>
        <v>0</v>
      </c>
      <c r="GM84">
        <f t="shared" si="99"/>
        <v>814.57</v>
      </c>
      <c r="GN84">
        <f t="shared" si="100"/>
        <v>814.57</v>
      </c>
      <c r="GO84">
        <f t="shared" si="101"/>
        <v>0</v>
      </c>
      <c r="GP84">
        <f t="shared" si="102"/>
        <v>0</v>
      </c>
      <c r="GR84">
        <v>0</v>
      </c>
      <c r="GS84">
        <v>3</v>
      </c>
      <c r="GT84">
        <v>0</v>
      </c>
      <c r="GU84" t="s">
        <v>6</v>
      </c>
      <c r="GV84">
        <f t="shared" si="103"/>
        <v>0</v>
      </c>
      <c r="GW84">
        <v>1</v>
      </c>
      <c r="GX84">
        <f t="shared" si="104"/>
        <v>0</v>
      </c>
      <c r="HA84">
        <v>0</v>
      </c>
      <c r="HB84">
        <v>0</v>
      </c>
      <c r="HC84">
        <f t="shared" si="105"/>
        <v>0</v>
      </c>
      <c r="IK84">
        <v>0</v>
      </c>
    </row>
    <row r="85" spans="1:245" x14ac:dyDescent="0.2">
      <c r="A85">
        <v>18</v>
      </c>
      <c r="B85">
        <v>1</v>
      </c>
      <c r="C85">
        <v>83</v>
      </c>
      <c r="E85" t="s">
        <v>199</v>
      </c>
      <c r="F85" t="s">
        <v>200</v>
      </c>
      <c r="G85" t="s">
        <v>201</v>
      </c>
      <c r="H85" t="s">
        <v>202</v>
      </c>
      <c r="I85">
        <f>I84*J85</f>
        <v>56</v>
      </c>
      <c r="J85">
        <v>112</v>
      </c>
      <c r="O85">
        <f t="shared" si="71"/>
        <v>0</v>
      </c>
      <c r="P85">
        <f t="shared" si="72"/>
        <v>0</v>
      </c>
      <c r="Q85">
        <f t="shared" si="73"/>
        <v>0</v>
      </c>
      <c r="R85">
        <f t="shared" si="74"/>
        <v>0</v>
      </c>
      <c r="S85">
        <f t="shared" si="75"/>
        <v>0</v>
      </c>
      <c r="T85">
        <f t="shared" si="76"/>
        <v>0</v>
      </c>
      <c r="U85">
        <f t="shared" si="77"/>
        <v>0</v>
      </c>
      <c r="V85">
        <f t="shared" si="78"/>
        <v>0</v>
      </c>
      <c r="W85">
        <f t="shared" si="79"/>
        <v>0</v>
      </c>
      <c r="X85">
        <f t="shared" si="80"/>
        <v>0</v>
      </c>
      <c r="Y85">
        <f t="shared" si="81"/>
        <v>0</v>
      </c>
      <c r="AA85">
        <v>16808636</v>
      </c>
      <c r="AB85">
        <f t="shared" si="82"/>
        <v>0</v>
      </c>
      <c r="AC85">
        <f t="shared" si="83"/>
        <v>0</v>
      </c>
      <c r="AD85">
        <f>ROUND((((ET85)-(EU85))+AE85),2)</f>
        <v>0</v>
      </c>
      <c r="AE85">
        <f t="shared" ref="AE85:AF88" si="108">ROUND((EU85),2)</f>
        <v>0</v>
      </c>
      <c r="AF85">
        <f t="shared" si="108"/>
        <v>0</v>
      </c>
      <c r="AG85">
        <f t="shared" si="84"/>
        <v>0</v>
      </c>
      <c r="AH85">
        <f t="shared" ref="AH85:AI88" si="109">(EW85)</f>
        <v>0</v>
      </c>
      <c r="AI85">
        <f t="shared" si="109"/>
        <v>0</v>
      </c>
      <c r="AJ85">
        <f t="shared" si="85"/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106</v>
      </c>
      <c r="AU85">
        <v>54</v>
      </c>
      <c r="AV85">
        <v>1</v>
      </c>
      <c r="AW85">
        <v>1</v>
      </c>
      <c r="AZ85">
        <v>6.71</v>
      </c>
      <c r="BA85">
        <v>1</v>
      </c>
      <c r="BB85">
        <v>1</v>
      </c>
      <c r="BC85">
        <v>6.71</v>
      </c>
      <c r="BD85" t="s">
        <v>6</v>
      </c>
      <c r="BE85" t="s">
        <v>6</v>
      </c>
      <c r="BF85" t="s">
        <v>6</v>
      </c>
      <c r="BG85" t="s">
        <v>6</v>
      </c>
      <c r="BH85">
        <v>3</v>
      </c>
      <c r="BI85">
        <v>1</v>
      </c>
      <c r="BJ85" t="s">
        <v>6</v>
      </c>
      <c r="BM85">
        <v>10001</v>
      </c>
      <c r="BN85">
        <v>0</v>
      </c>
      <c r="BO85" t="s">
        <v>6</v>
      </c>
      <c r="BP85">
        <v>0</v>
      </c>
      <c r="BQ85">
        <v>2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118</v>
      </c>
      <c r="CA85">
        <v>63</v>
      </c>
      <c r="CE85">
        <v>0</v>
      </c>
      <c r="CF85">
        <v>0</v>
      </c>
      <c r="CG85">
        <v>0</v>
      </c>
      <c r="CM85">
        <v>0</v>
      </c>
      <c r="CN85" t="s">
        <v>6</v>
      </c>
      <c r="CO85">
        <v>0</v>
      </c>
      <c r="CP85">
        <f t="shared" si="86"/>
        <v>0</v>
      </c>
      <c r="CQ85">
        <f t="shared" si="87"/>
        <v>0</v>
      </c>
      <c r="CR85">
        <f t="shared" si="88"/>
        <v>0</v>
      </c>
      <c r="CS85">
        <f t="shared" si="89"/>
        <v>0</v>
      </c>
      <c r="CT85">
        <f t="shared" si="90"/>
        <v>0</v>
      </c>
      <c r="CU85">
        <f t="shared" si="91"/>
        <v>0</v>
      </c>
      <c r="CV85">
        <f t="shared" si="92"/>
        <v>0</v>
      </c>
      <c r="CW85">
        <f t="shared" si="93"/>
        <v>0</v>
      </c>
      <c r="CX85">
        <f t="shared" si="94"/>
        <v>0</v>
      </c>
      <c r="CY85">
        <f t="shared" si="95"/>
        <v>0</v>
      </c>
      <c r="CZ85">
        <f t="shared" si="96"/>
        <v>0</v>
      </c>
      <c r="DC85" t="s">
        <v>6</v>
      </c>
      <c r="DD85" t="s">
        <v>6</v>
      </c>
      <c r="DE85" t="s">
        <v>6</v>
      </c>
      <c r="DF85" t="s">
        <v>6</v>
      </c>
      <c r="DG85" t="s">
        <v>6</v>
      </c>
      <c r="DH85" t="s">
        <v>6</v>
      </c>
      <c r="DI85" t="s">
        <v>6</v>
      </c>
      <c r="DJ85" t="s">
        <v>6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1003</v>
      </c>
      <c r="DV85" t="s">
        <v>202</v>
      </c>
      <c r="DW85" t="s">
        <v>202</v>
      </c>
      <c r="DX85">
        <v>1</v>
      </c>
      <c r="EE85">
        <v>16510487</v>
      </c>
      <c r="EF85">
        <v>2</v>
      </c>
      <c r="EG85" t="s">
        <v>20</v>
      </c>
      <c r="EH85">
        <v>0</v>
      </c>
      <c r="EI85" t="s">
        <v>6</v>
      </c>
      <c r="EJ85">
        <v>1</v>
      </c>
      <c r="EK85">
        <v>10001</v>
      </c>
      <c r="EL85" t="s">
        <v>176</v>
      </c>
      <c r="EM85" t="s">
        <v>177</v>
      </c>
      <c r="EO85" t="s">
        <v>6</v>
      </c>
      <c r="EQ85">
        <v>0</v>
      </c>
      <c r="ER85">
        <v>0</v>
      </c>
      <c r="ES85">
        <v>0</v>
      </c>
      <c r="ET85">
        <v>0</v>
      </c>
      <c r="EU85">
        <v>0</v>
      </c>
      <c r="EV85">
        <v>0</v>
      </c>
      <c r="EW85">
        <v>0</v>
      </c>
      <c r="EX85">
        <v>0</v>
      </c>
      <c r="FQ85">
        <v>0</v>
      </c>
      <c r="FR85">
        <f t="shared" si="97"/>
        <v>0</v>
      </c>
      <c r="FS85">
        <v>0</v>
      </c>
      <c r="FT85" t="s">
        <v>23</v>
      </c>
      <c r="FU85" t="s">
        <v>24</v>
      </c>
      <c r="FX85">
        <v>106.2</v>
      </c>
      <c r="FY85">
        <v>53.55</v>
      </c>
      <c r="GA85" t="s">
        <v>6</v>
      </c>
      <c r="GD85">
        <v>0</v>
      </c>
      <c r="GF85">
        <v>1542502361</v>
      </c>
      <c r="GG85">
        <v>1</v>
      </c>
      <c r="GH85">
        <v>1</v>
      </c>
      <c r="GI85">
        <v>4</v>
      </c>
      <c r="GJ85">
        <v>0</v>
      </c>
      <c r="GK85">
        <f>ROUND(R85*(R12)/100,2)</f>
        <v>0</v>
      </c>
      <c r="GL85">
        <f t="shared" si="98"/>
        <v>0</v>
      </c>
      <c r="GM85">
        <f t="shared" si="99"/>
        <v>0</v>
      </c>
      <c r="GN85">
        <f t="shared" si="100"/>
        <v>0</v>
      </c>
      <c r="GO85">
        <f t="shared" si="101"/>
        <v>0</v>
      </c>
      <c r="GP85">
        <f t="shared" si="102"/>
        <v>0</v>
      </c>
      <c r="GR85">
        <v>0</v>
      </c>
      <c r="GS85">
        <v>3</v>
      </c>
      <c r="GT85">
        <v>0</v>
      </c>
      <c r="GU85" t="s">
        <v>6</v>
      </c>
      <c r="GV85">
        <f t="shared" si="103"/>
        <v>0</v>
      </c>
      <c r="GW85">
        <v>1</v>
      </c>
      <c r="GX85">
        <f t="shared" si="104"/>
        <v>0</v>
      </c>
      <c r="HA85">
        <v>0</v>
      </c>
      <c r="HB85">
        <v>0</v>
      </c>
      <c r="HC85">
        <f t="shared" si="105"/>
        <v>0</v>
      </c>
      <c r="IK85">
        <v>0</v>
      </c>
    </row>
    <row r="86" spans="1:245" x14ac:dyDescent="0.2">
      <c r="A86">
        <v>18</v>
      </c>
      <c r="B86">
        <v>1</v>
      </c>
      <c r="C86">
        <v>84</v>
      </c>
      <c r="E86" t="s">
        <v>203</v>
      </c>
      <c r="F86" t="s">
        <v>204</v>
      </c>
      <c r="G86" t="s">
        <v>205</v>
      </c>
      <c r="H86" t="s">
        <v>202</v>
      </c>
      <c r="I86">
        <f>I84*J86</f>
        <v>56</v>
      </c>
      <c r="J86">
        <v>112</v>
      </c>
      <c r="O86">
        <f t="shared" si="71"/>
        <v>1476.74</v>
      </c>
      <c r="P86">
        <f t="shared" si="72"/>
        <v>1476.74</v>
      </c>
      <c r="Q86">
        <f t="shared" si="73"/>
        <v>0</v>
      </c>
      <c r="R86">
        <f t="shared" si="74"/>
        <v>0</v>
      </c>
      <c r="S86">
        <f t="shared" si="75"/>
        <v>0</v>
      </c>
      <c r="T86">
        <f t="shared" si="76"/>
        <v>0</v>
      </c>
      <c r="U86">
        <f t="shared" si="77"/>
        <v>0</v>
      </c>
      <c r="V86">
        <f t="shared" si="78"/>
        <v>0</v>
      </c>
      <c r="W86">
        <f t="shared" si="79"/>
        <v>0</v>
      </c>
      <c r="X86">
        <f t="shared" si="80"/>
        <v>0</v>
      </c>
      <c r="Y86">
        <f t="shared" si="81"/>
        <v>0</v>
      </c>
      <c r="AA86">
        <v>16808636</v>
      </c>
      <c r="AB86">
        <f t="shared" si="82"/>
        <v>3.93</v>
      </c>
      <c r="AC86">
        <f t="shared" si="83"/>
        <v>3.93</v>
      </c>
      <c r="AD86">
        <f>ROUND((((ET86)-(EU86))+AE86),2)</f>
        <v>0</v>
      </c>
      <c r="AE86">
        <f t="shared" si="108"/>
        <v>0</v>
      </c>
      <c r="AF86">
        <f t="shared" si="108"/>
        <v>0</v>
      </c>
      <c r="AG86">
        <f t="shared" si="84"/>
        <v>0</v>
      </c>
      <c r="AH86">
        <f t="shared" si="109"/>
        <v>0</v>
      </c>
      <c r="AI86">
        <f t="shared" si="109"/>
        <v>0</v>
      </c>
      <c r="AJ86">
        <f t="shared" si="85"/>
        <v>0</v>
      </c>
      <c r="AK86">
        <v>3.93</v>
      </c>
      <c r="AL86">
        <v>3.93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106</v>
      </c>
      <c r="AU86">
        <v>54</v>
      </c>
      <c r="AV86">
        <v>1</v>
      </c>
      <c r="AW86">
        <v>1</v>
      </c>
      <c r="AZ86">
        <v>6.71</v>
      </c>
      <c r="BA86">
        <v>1</v>
      </c>
      <c r="BB86">
        <v>1</v>
      </c>
      <c r="BC86">
        <v>6.71</v>
      </c>
      <c r="BD86" t="s">
        <v>6</v>
      </c>
      <c r="BE86" t="s">
        <v>6</v>
      </c>
      <c r="BF86" t="s">
        <v>6</v>
      </c>
      <c r="BG86" t="s">
        <v>6</v>
      </c>
      <c r="BH86">
        <v>3</v>
      </c>
      <c r="BI86">
        <v>1</v>
      </c>
      <c r="BJ86" t="s">
        <v>206</v>
      </c>
      <c r="BM86">
        <v>10001</v>
      </c>
      <c r="BN86">
        <v>0</v>
      </c>
      <c r="BO86" t="s">
        <v>6</v>
      </c>
      <c r="BP86">
        <v>0</v>
      </c>
      <c r="BQ86">
        <v>2</v>
      </c>
      <c r="BR86">
        <v>0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6</v>
      </c>
      <c r="BZ86">
        <v>118</v>
      </c>
      <c r="CA86">
        <v>63</v>
      </c>
      <c r="CE86">
        <v>0</v>
      </c>
      <c r="CF86">
        <v>0</v>
      </c>
      <c r="CG86">
        <v>0</v>
      </c>
      <c r="CM86">
        <v>0</v>
      </c>
      <c r="CN86" t="s">
        <v>6</v>
      </c>
      <c r="CO86">
        <v>0</v>
      </c>
      <c r="CP86">
        <f t="shared" si="86"/>
        <v>1476.74</v>
      </c>
      <c r="CQ86">
        <f t="shared" si="87"/>
        <v>26.3703</v>
      </c>
      <c r="CR86">
        <f t="shared" si="88"/>
        <v>0</v>
      </c>
      <c r="CS86">
        <f t="shared" si="89"/>
        <v>0</v>
      </c>
      <c r="CT86">
        <f t="shared" si="90"/>
        <v>0</v>
      </c>
      <c r="CU86">
        <f t="shared" si="91"/>
        <v>0</v>
      </c>
      <c r="CV86">
        <f t="shared" si="92"/>
        <v>0</v>
      </c>
      <c r="CW86">
        <f t="shared" si="93"/>
        <v>0</v>
      </c>
      <c r="CX86">
        <f t="shared" si="94"/>
        <v>0</v>
      </c>
      <c r="CY86">
        <f t="shared" si="95"/>
        <v>0</v>
      </c>
      <c r="CZ86">
        <f t="shared" si="96"/>
        <v>0</v>
      </c>
      <c r="DC86" t="s">
        <v>6</v>
      </c>
      <c r="DD86" t="s">
        <v>6</v>
      </c>
      <c r="DE86" t="s">
        <v>6</v>
      </c>
      <c r="DF86" t="s">
        <v>6</v>
      </c>
      <c r="DG86" t="s">
        <v>6</v>
      </c>
      <c r="DH86" t="s">
        <v>6</v>
      </c>
      <c r="DI86" t="s">
        <v>6</v>
      </c>
      <c r="DJ86" t="s">
        <v>6</v>
      </c>
      <c r="DK86" t="s">
        <v>6</v>
      </c>
      <c r="DL86" t="s">
        <v>6</v>
      </c>
      <c r="DM86" t="s">
        <v>6</v>
      </c>
      <c r="DN86">
        <v>0</v>
      </c>
      <c r="DO86">
        <v>0</v>
      </c>
      <c r="DP86">
        <v>1</v>
      </c>
      <c r="DQ86">
        <v>1</v>
      </c>
      <c r="DU86">
        <v>1003</v>
      </c>
      <c r="DV86" t="s">
        <v>202</v>
      </c>
      <c r="DW86" t="s">
        <v>202</v>
      </c>
      <c r="DX86">
        <v>1</v>
      </c>
      <c r="EE86">
        <v>16510487</v>
      </c>
      <c r="EF86">
        <v>2</v>
      </c>
      <c r="EG86" t="s">
        <v>20</v>
      </c>
      <c r="EH86">
        <v>0</v>
      </c>
      <c r="EI86" t="s">
        <v>6</v>
      </c>
      <c r="EJ86">
        <v>1</v>
      </c>
      <c r="EK86">
        <v>10001</v>
      </c>
      <c r="EL86" t="s">
        <v>176</v>
      </c>
      <c r="EM86" t="s">
        <v>177</v>
      </c>
      <c r="EO86" t="s">
        <v>6</v>
      </c>
      <c r="EQ86">
        <v>0</v>
      </c>
      <c r="ER86">
        <v>3.93</v>
      </c>
      <c r="ES86">
        <v>3.93</v>
      </c>
      <c r="ET86">
        <v>0</v>
      </c>
      <c r="EU86">
        <v>0</v>
      </c>
      <c r="EV86">
        <v>0</v>
      </c>
      <c r="EW86">
        <v>0</v>
      </c>
      <c r="EX86">
        <v>0</v>
      </c>
      <c r="FQ86">
        <v>0</v>
      </c>
      <c r="FR86">
        <f t="shared" si="97"/>
        <v>0</v>
      </c>
      <c r="FS86">
        <v>0</v>
      </c>
      <c r="FT86" t="s">
        <v>23</v>
      </c>
      <c r="FU86" t="s">
        <v>24</v>
      </c>
      <c r="FX86">
        <v>106.2</v>
      </c>
      <c r="FY86">
        <v>53.55</v>
      </c>
      <c r="GA86" t="s">
        <v>6</v>
      </c>
      <c r="GD86">
        <v>0</v>
      </c>
      <c r="GF86">
        <v>1273548754</v>
      </c>
      <c r="GG86">
        <v>1</v>
      </c>
      <c r="GH86">
        <v>1</v>
      </c>
      <c r="GI86">
        <v>4</v>
      </c>
      <c r="GJ86">
        <v>0</v>
      </c>
      <c r="GK86">
        <f>ROUND(R86*(R12)/100,2)</f>
        <v>0</v>
      </c>
      <c r="GL86">
        <f t="shared" si="98"/>
        <v>0</v>
      </c>
      <c r="GM86">
        <f t="shared" si="99"/>
        <v>1476.74</v>
      </c>
      <c r="GN86">
        <f t="shared" si="100"/>
        <v>1476.74</v>
      </c>
      <c r="GO86">
        <f t="shared" si="101"/>
        <v>0</v>
      </c>
      <c r="GP86">
        <f t="shared" si="102"/>
        <v>0</v>
      </c>
      <c r="GR86">
        <v>0</v>
      </c>
      <c r="GS86">
        <v>3</v>
      </c>
      <c r="GT86">
        <v>0</v>
      </c>
      <c r="GU86" t="s">
        <v>6</v>
      </c>
      <c r="GV86">
        <f t="shared" si="103"/>
        <v>0</v>
      </c>
      <c r="GW86">
        <v>1</v>
      </c>
      <c r="GX86">
        <f t="shared" si="104"/>
        <v>0</v>
      </c>
      <c r="HA86">
        <v>0</v>
      </c>
      <c r="HB86">
        <v>0</v>
      </c>
      <c r="HC86">
        <f t="shared" si="105"/>
        <v>0</v>
      </c>
      <c r="IK86">
        <v>0</v>
      </c>
    </row>
    <row r="87" spans="1:245" x14ac:dyDescent="0.2">
      <c r="A87">
        <v>17</v>
      </c>
      <c r="B87">
        <v>1</v>
      </c>
      <c r="C87">
        <f>ROW(SmtRes!A89)</f>
        <v>89</v>
      </c>
      <c r="D87">
        <f>ROW(EtalonRes!A94)</f>
        <v>94</v>
      </c>
      <c r="E87" t="s">
        <v>207</v>
      </c>
      <c r="F87" t="s">
        <v>208</v>
      </c>
      <c r="G87" t="s">
        <v>209</v>
      </c>
      <c r="H87" t="s">
        <v>18</v>
      </c>
      <c r="I87">
        <f>ROUND(14.4/100,9)</f>
        <v>0.14399999999999999</v>
      </c>
      <c r="J87">
        <v>0</v>
      </c>
      <c r="O87">
        <f t="shared" si="71"/>
        <v>3076.87</v>
      </c>
      <c r="P87">
        <f t="shared" si="72"/>
        <v>1101.76</v>
      </c>
      <c r="Q87">
        <f t="shared" si="73"/>
        <v>20.23</v>
      </c>
      <c r="R87">
        <f t="shared" si="74"/>
        <v>8.74</v>
      </c>
      <c r="S87">
        <f t="shared" si="75"/>
        <v>1954.88</v>
      </c>
      <c r="T87">
        <f t="shared" si="76"/>
        <v>0</v>
      </c>
      <c r="U87">
        <f t="shared" si="77"/>
        <v>32.882399999999997</v>
      </c>
      <c r="V87">
        <f t="shared" si="78"/>
        <v>9.6479999999999996E-2</v>
      </c>
      <c r="W87">
        <f t="shared" si="79"/>
        <v>0</v>
      </c>
      <c r="X87">
        <f t="shared" si="80"/>
        <v>1551.26</v>
      </c>
      <c r="Y87">
        <f t="shared" si="81"/>
        <v>981.81</v>
      </c>
      <c r="AA87">
        <v>16808636</v>
      </c>
      <c r="AB87">
        <f t="shared" si="82"/>
        <v>3184.37</v>
      </c>
      <c r="AC87">
        <f t="shared" si="83"/>
        <v>1140.25</v>
      </c>
      <c r="AD87">
        <f>ROUND((((ET87)-(EU87))+AE87),2)</f>
        <v>20.94</v>
      </c>
      <c r="AE87">
        <f t="shared" si="108"/>
        <v>9.0500000000000007</v>
      </c>
      <c r="AF87">
        <f t="shared" si="108"/>
        <v>2023.18</v>
      </c>
      <c r="AG87">
        <f t="shared" si="84"/>
        <v>0</v>
      </c>
      <c r="AH87">
        <f t="shared" si="109"/>
        <v>228.35</v>
      </c>
      <c r="AI87">
        <f t="shared" si="109"/>
        <v>0.67</v>
      </c>
      <c r="AJ87">
        <f t="shared" si="85"/>
        <v>0</v>
      </c>
      <c r="AK87">
        <v>3184.37</v>
      </c>
      <c r="AL87">
        <v>1140.25</v>
      </c>
      <c r="AM87">
        <v>20.94</v>
      </c>
      <c r="AN87">
        <v>9.0500000000000007</v>
      </c>
      <c r="AO87">
        <v>2023.18</v>
      </c>
      <c r="AP87">
        <v>0</v>
      </c>
      <c r="AQ87">
        <v>228.35</v>
      </c>
      <c r="AR87">
        <v>0.67</v>
      </c>
      <c r="AS87">
        <v>0</v>
      </c>
      <c r="AT87">
        <v>79</v>
      </c>
      <c r="AU87">
        <v>50</v>
      </c>
      <c r="AV87">
        <v>1</v>
      </c>
      <c r="AW87">
        <v>1</v>
      </c>
      <c r="AZ87">
        <v>6.71</v>
      </c>
      <c r="BA87">
        <v>6.71</v>
      </c>
      <c r="BB87">
        <v>6.71</v>
      </c>
      <c r="BC87">
        <v>6.71</v>
      </c>
      <c r="BD87" t="s">
        <v>6</v>
      </c>
      <c r="BE87" t="s">
        <v>6</v>
      </c>
      <c r="BF87" t="s">
        <v>6</v>
      </c>
      <c r="BG87" t="s">
        <v>6</v>
      </c>
      <c r="BH87">
        <v>0</v>
      </c>
      <c r="BI87">
        <v>1</v>
      </c>
      <c r="BJ87" t="s">
        <v>210</v>
      </c>
      <c r="BM87">
        <v>61001</v>
      </c>
      <c r="BN87">
        <v>0</v>
      </c>
      <c r="BO87" t="s">
        <v>6</v>
      </c>
      <c r="BP87">
        <v>0</v>
      </c>
      <c r="BQ87">
        <v>6</v>
      </c>
      <c r="BR87">
        <v>0</v>
      </c>
      <c r="BS87">
        <v>6.71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79</v>
      </c>
      <c r="CA87">
        <v>50</v>
      </c>
      <c r="CE87">
        <v>0</v>
      </c>
      <c r="CF87">
        <v>0</v>
      </c>
      <c r="CG87">
        <v>0</v>
      </c>
      <c r="CM87">
        <v>0</v>
      </c>
      <c r="CN87" t="s">
        <v>6</v>
      </c>
      <c r="CO87">
        <v>0</v>
      </c>
      <c r="CP87">
        <f t="shared" si="86"/>
        <v>3076.87</v>
      </c>
      <c r="CQ87">
        <f t="shared" si="87"/>
        <v>7651.0775000000003</v>
      </c>
      <c r="CR87">
        <f t="shared" si="88"/>
        <v>140.50740000000002</v>
      </c>
      <c r="CS87">
        <f t="shared" si="89"/>
        <v>60.725500000000004</v>
      </c>
      <c r="CT87">
        <f t="shared" si="90"/>
        <v>13575.5378</v>
      </c>
      <c r="CU87">
        <f t="shared" si="91"/>
        <v>0</v>
      </c>
      <c r="CV87">
        <f t="shared" si="92"/>
        <v>228.35</v>
      </c>
      <c r="CW87">
        <f t="shared" si="93"/>
        <v>0.67</v>
      </c>
      <c r="CX87">
        <f t="shared" si="94"/>
        <v>0</v>
      </c>
      <c r="CY87">
        <f t="shared" si="95"/>
        <v>1551.2598</v>
      </c>
      <c r="CZ87">
        <f t="shared" si="96"/>
        <v>981.81</v>
      </c>
      <c r="DC87" t="s">
        <v>6</v>
      </c>
      <c r="DD87" t="s">
        <v>6</v>
      </c>
      <c r="DE87" t="s">
        <v>6</v>
      </c>
      <c r="DF87" t="s">
        <v>6</v>
      </c>
      <c r="DG87" t="s">
        <v>6</v>
      </c>
      <c r="DH87" t="s">
        <v>6</v>
      </c>
      <c r="DI87" t="s">
        <v>6</v>
      </c>
      <c r="DJ87" t="s">
        <v>6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1005</v>
      </c>
      <c r="DV87" t="s">
        <v>18</v>
      </c>
      <c r="DW87" t="s">
        <v>18</v>
      </c>
      <c r="DX87">
        <v>100</v>
      </c>
      <c r="EE87">
        <v>16510570</v>
      </c>
      <c r="EF87">
        <v>6</v>
      </c>
      <c r="EG87" t="s">
        <v>30</v>
      </c>
      <c r="EH87">
        <v>0</v>
      </c>
      <c r="EI87" t="s">
        <v>6</v>
      </c>
      <c r="EJ87">
        <v>1</v>
      </c>
      <c r="EK87">
        <v>61001</v>
      </c>
      <c r="EL87" t="s">
        <v>211</v>
      </c>
      <c r="EM87" t="s">
        <v>212</v>
      </c>
      <c r="EO87" t="s">
        <v>6</v>
      </c>
      <c r="EQ87">
        <v>0</v>
      </c>
      <c r="ER87">
        <v>3184.37</v>
      </c>
      <c r="ES87">
        <v>1140.25</v>
      </c>
      <c r="ET87">
        <v>20.94</v>
      </c>
      <c r="EU87">
        <v>9.0500000000000007</v>
      </c>
      <c r="EV87">
        <v>2023.18</v>
      </c>
      <c r="EW87">
        <v>228.35</v>
      </c>
      <c r="EX87">
        <v>0.67</v>
      </c>
      <c r="EY87">
        <v>0</v>
      </c>
      <c r="FQ87">
        <v>0</v>
      </c>
      <c r="FR87">
        <f t="shared" si="97"/>
        <v>0</v>
      </c>
      <c r="FS87">
        <v>0</v>
      </c>
      <c r="FX87">
        <v>79</v>
      </c>
      <c r="FY87">
        <v>50</v>
      </c>
      <c r="GA87" t="s">
        <v>6</v>
      </c>
      <c r="GD87">
        <v>0</v>
      </c>
      <c r="GF87">
        <v>-1050670095</v>
      </c>
      <c r="GG87">
        <v>1</v>
      </c>
      <c r="GH87">
        <v>1</v>
      </c>
      <c r="GI87">
        <v>4</v>
      </c>
      <c r="GJ87">
        <v>0</v>
      </c>
      <c r="GK87">
        <f>ROUND(R87*(R12)/100,2)</f>
        <v>0</v>
      </c>
      <c r="GL87">
        <f t="shared" si="98"/>
        <v>0</v>
      </c>
      <c r="GM87">
        <f t="shared" si="99"/>
        <v>5609.94</v>
      </c>
      <c r="GN87">
        <f t="shared" si="100"/>
        <v>5609.94</v>
      </c>
      <c r="GO87">
        <f t="shared" si="101"/>
        <v>0</v>
      </c>
      <c r="GP87">
        <f t="shared" si="102"/>
        <v>0</v>
      </c>
      <c r="GR87">
        <v>0</v>
      </c>
      <c r="GS87">
        <v>3</v>
      </c>
      <c r="GT87">
        <v>0</v>
      </c>
      <c r="GU87" t="s">
        <v>6</v>
      </c>
      <c r="GV87">
        <f t="shared" si="103"/>
        <v>0</v>
      </c>
      <c r="GW87">
        <v>1</v>
      </c>
      <c r="GX87">
        <f t="shared" si="104"/>
        <v>0</v>
      </c>
      <c r="HA87">
        <v>0</v>
      </c>
      <c r="HB87">
        <v>0</v>
      </c>
      <c r="HC87">
        <f t="shared" si="105"/>
        <v>0</v>
      </c>
      <c r="IK87">
        <v>0</v>
      </c>
    </row>
    <row r="88" spans="1:245" x14ac:dyDescent="0.2">
      <c r="A88">
        <v>17</v>
      </c>
      <c r="B88">
        <v>1</v>
      </c>
      <c r="C88">
        <f>ROW(SmtRes!A92)</f>
        <v>92</v>
      </c>
      <c r="D88">
        <f>ROW(EtalonRes!A97)</f>
        <v>97</v>
      </c>
      <c r="E88" t="s">
        <v>213</v>
      </c>
      <c r="F88" t="s">
        <v>214</v>
      </c>
      <c r="G88" t="s">
        <v>215</v>
      </c>
      <c r="H88" t="s">
        <v>18</v>
      </c>
      <c r="I88">
        <f>ROUND(46.61/100,9)</f>
        <v>0.46610000000000001</v>
      </c>
      <c r="J88">
        <v>0</v>
      </c>
      <c r="O88">
        <f t="shared" si="71"/>
        <v>116.03</v>
      </c>
      <c r="P88">
        <f t="shared" si="72"/>
        <v>24.05</v>
      </c>
      <c r="Q88">
        <f t="shared" si="73"/>
        <v>0</v>
      </c>
      <c r="R88">
        <f t="shared" si="74"/>
        <v>0</v>
      </c>
      <c r="S88">
        <f t="shared" si="75"/>
        <v>91.98</v>
      </c>
      <c r="T88">
        <f t="shared" si="76"/>
        <v>0</v>
      </c>
      <c r="U88">
        <f t="shared" si="77"/>
        <v>1.7571970000000001</v>
      </c>
      <c r="V88">
        <f t="shared" si="78"/>
        <v>0</v>
      </c>
      <c r="W88">
        <f t="shared" si="79"/>
        <v>0</v>
      </c>
      <c r="X88">
        <f t="shared" si="80"/>
        <v>73.58</v>
      </c>
      <c r="Y88">
        <f t="shared" si="81"/>
        <v>45.99</v>
      </c>
      <c r="AA88">
        <v>16808636</v>
      </c>
      <c r="AB88">
        <f t="shared" si="82"/>
        <v>37.1</v>
      </c>
      <c r="AC88">
        <f t="shared" si="83"/>
        <v>7.69</v>
      </c>
      <c r="AD88">
        <f>ROUND((((ET88)-(EU88))+AE88),2)</f>
        <v>0</v>
      </c>
      <c r="AE88">
        <f t="shared" si="108"/>
        <v>0</v>
      </c>
      <c r="AF88">
        <f t="shared" si="108"/>
        <v>29.41</v>
      </c>
      <c r="AG88">
        <f t="shared" si="84"/>
        <v>0</v>
      </c>
      <c r="AH88">
        <f t="shared" si="109"/>
        <v>3.77</v>
      </c>
      <c r="AI88">
        <f t="shared" si="109"/>
        <v>0</v>
      </c>
      <c r="AJ88">
        <f t="shared" si="85"/>
        <v>0</v>
      </c>
      <c r="AK88">
        <v>37.1</v>
      </c>
      <c r="AL88">
        <v>7.69</v>
      </c>
      <c r="AM88">
        <v>0</v>
      </c>
      <c r="AN88">
        <v>0</v>
      </c>
      <c r="AO88">
        <v>29.41</v>
      </c>
      <c r="AP88">
        <v>0</v>
      </c>
      <c r="AQ88">
        <v>3.77</v>
      </c>
      <c r="AR88">
        <v>0</v>
      </c>
      <c r="AS88">
        <v>0</v>
      </c>
      <c r="AT88">
        <v>80</v>
      </c>
      <c r="AU88">
        <v>50</v>
      </c>
      <c r="AV88">
        <v>1</v>
      </c>
      <c r="AW88">
        <v>1</v>
      </c>
      <c r="AZ88">
        <v>6.71</v>
      </c>
      <c r="BA88">
        <v>6.71</v>
      </c>
      <c r="BB88">
        <v>6.71</v>
      </c>
      <c r="BC88">
        <v>6.71</v>
      </c>
      <c r="BD88" t="s">
        <v>6</v>
      </c>
      <c r="BE88" t="s">
        <v>6</v>
      </c>
      <c r="BF88" t="s">
        <v>6</v>
      </c>
      <c r="BG88" t="s">
        <v>6</v>
      </c>
      <c r="BH88">
        <v>0</v>
      </c>
      <c r="BI88">
        <v>1</v>
      </c>
      <c r="BJ88" t="s">
        <v>216</v>
      </c>
      <c r="BM88">
        <v>62001</v>
      </c>
      <c r="BN88">
        <v>0</v>
      </c>
      <c r="BO88" t="s">
        <v>6</v>
      </c>
      <c r="BP88">
        <v>0</v>
      </c>
      <c r="BQ88">
        <v>6</v>
      </c>
      <c r="BR88">
        <v>0</v>
      </c>
      <c r="BS88">
        <v>6.71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6</v>
      </c>
      <c r="BZ88">
        <v>80</v>
      </c>
      <c r="CA88">
        <v>50</v>
      </c>
      <c r="CE88">
        <v>0</v>
      </c>
      <c r="CF88">
        <v>0</v>
      </c>
      <c r="CG88">
        <v>0</v>
      </c>
      <c r="CM88">
        <v>0</v>
      </c>
      <c r="CN88" t="s">
        <v>6</v>
      </c>
      <c r="CO88">
        <v>0</v>
      </c>
      <c r="CP88">
        <f t="shared" si="86"/>
        <v>116.03</v>
      </c>
      <c r="CQ88">
        <f t="shared" si="87"/>
        <v>51.599900000000005</v>
      </c>
      <c r="CR88">
        <f t="shared" si="88"/>
        <v>0</v>
      </c>
      <c r="CS88">
        <f t="shared" si="89"/>
        <v>0</v>
      </c>
      <c r="CT88">
        <f t="shared" si="90"/>
        <v>197.34110000000001</v>
      </c>
      <c r="CU88">
        <f t="shared" si="91"/>
        <v>0</v>
      </c>
      <c r="CV88">
        <f t="shared" si="92"/>
        <v>3.77</v>
      </c>
      <c r="CW88">
        <f t="shared" si="93"/>
        <v>0</v>
      </c>
      <c r="CX88">
        <f t="shared" si="94"/>
        <v>0</v>
      </c>
      <c r="CY88">
        <f t="shared" si="95"/>
        <v>73.584000000000003</v>
      </c>
      <c r="CZ88">
        <f t="shared" si="96"/>
        <v>45.99</v>
      </c>
      <c r="DC88" t="s">
        <v>6</v>
      </c>
      <c r="DD88" t="s">
        <v>6</v>
      </c>
      <c r="DE88" t="s">
        <v>6</v>
      </c>
      <c r="DF88" t="s">
        <v>6</v>
      </c>
      <c r="DG88" t="s">
        <v>6</v>
      </c>
      <c r="DH88" t="s">
        <v>6</v>
      </c>
      <c r="DI88" t="s">
        <v>6</v>
      </c>
      <c r="DJ88" t="s">
        <v>6</v>
      </c>
      <c r="DK88" t="s">
        <v>6</v>
      </c>
      <c r="DL88" t="s">
        <v>6</v>
      </c>
      <c r="DM88" t="s">
        <v>6</v>
      </c>
      <c r="DN88">
        <v>0</v>
      </c>
      <c r="DO88">
        <v>0</v>
      </c>
      <c r="DP88">
        <v>1</v>
      </c>
      <c r="DQ88">
        <v>1</v>
      </c>
      <c r="DU88">
        <v>1005</v>
      </c>
      <c r="DV88" t="s">
        <v>18</v>
      </c>
      <c r="DW88" t="s">
        <v>18</v>
      </c>
      <c r="DX88">
        <v>100</v>
      </c>
      <c r="EE88">
        <v>16510571</v>
      </c>
      <c r="EF88">
        <v>6</v>
      </c>
      <c r="EG88" t="s">
        <v>30</v>
      </c>
      <c r="EH88">
        <v>0</v>
      </c>
      <c r="EI88" t="s">
        <v>6</v>
      </c>
      <c r="EJ88">
        <v>1</v>
      </c>
      <c r="EK88">
        <v>62001</v>
      </c>
      <c r="EL88" t="s">
        <v>217</v>
      </c>
      <c r="EM88" t="s">
        <v>218</v>
      </c>
      <c r="EO88" t="s">
        <v>6</v>
      </c>
      <c r="EQ88">
        <v>0</v>
      </c>
      <c r="ER88">
        <v>37.1</v>
      </c>
      <c r="ES88">
        <v>7.69</v>
      </c>
      <c r="ET88">
        <v>0</v>
      </c>
      <c r="EU88">
        <v>0</v>
      </c>
      <c r="EV88">
        <v>29.41</v>
      </c>
      <c r="EW88">
        <v>3.77</v>
      </c>
      <c r="EX88">
        <v>0</v>
      </c>
      <c r="EY88">
        <v>0</v>
      </c>
      <c r="FQ88">
        <v>0</v>
      </c>
      <c r="FR88">
        <f t="shared" si="97"/>
        <v>0</v>
      </c>
      <c r="FS88">
        <v>0</v>
      </c>
      <c r="FX88">
        <v>80</v>
      </c>
      <c r="FY88">
        <v>50</v>
      </c>
      <c r="GA88" t="s">
        <v>6</v>
      </c>
      <c r="GD88">
        <v>0</v>
      </c>
      <c r="GF88">
        <v>1248739953</v>
      </c>
      <c r="GG88">
        <v>1</v>
      </c>
      <c r="GH88">
        <v>1</v>
      </c>
      <c r="GI88">
        <v>4</v>
      </c>
      <c r="GJ88">
        <v>0</v>
      </c>
      <c r="GK88">
        <f>ROUND(R88*(R12)/100,2)</f>
        <v>0</v>
      </c>
      <c r="GL88">
        <f t="shared" si="98"/>
        <v>0</v>
      </c>
      <c r="GM88">
        <f t="shared" si="99"/>
        <v>235.6</v>
      </c>
      <c r="GN88">
        <f t="shared" si="100"/>
        <v>235.6</v>
      </c>
      <c r="GO88">
        <f t="shared" si="101"/>
        <v>0</v>
      </c>
      <c r="GP88">
        <f t="shared" si="102"/>
        <v>0</v>
      </c>
      <c r="GR88">
        <v>0</v>
      </c>
      <c r="GS88">
        <v>3</v>
      </c>
      <c r="GT88">
        <v>0</v>
      </c>
      <c r="GU88" t="s">
        <v>6</v>
      </c>
      <c r="GV88">
        <f t="shared" si="103"/>
        <v>0</v>
      </c>
      <c r="GW88">
        <v>1</v>
      </c>
      <c r="GX88">
        <f t="shared" si="104"/>
        <v>0</v>
      </c>
      <c r="HA88">
        <v>0</v>
      </c>
      <c r="HB88">
        <v>0</v>
      </c>
      <c r="HC88">
        <f t="shared" si="105"/>
        <v>0</v>
      </c>
      <c r="IK88">
        <v>0</v>
      </c>
    </row>
    <row r="89" spans="1:245" x14ac:dyDescent="0.2">
      <c r="A89">
        <v>17</v>
      </c>
      <c r="B89">
        <v>1</v>
      </c>
      <c r="C89">
        <f>ROW(SmtRes!A99)</f>
        <v>99</v>
      </c>
      <c r="D89">
        <f>ROW(EtalonRes!A103)</f>
        <v>103</v>
      </c>
      <c r="E89" t="s">
        <v>219</v>
      </c>
      <c r="F89" t="s">
        <v>220</v>
      </c>
      <c r="G89" t="s">
        <v>221</v>
      </c>
      <c r="H89" t="s">
        <v>18</v>
      </c>
      <c r="I89">
        <f>ROUND(468/100,9)</f>
        <v>4.68</v>
      </c>
      <c r="J89">
        <v>0</v>
      </c>
      <c r="O89">
        <f t="shared" si="71"/>
        <v>2781.97</v>
      </c>
      <c r="P89">
        <f t="shared" si="72"/>
        <v>5.65</v>
      </c>
      <c r="Q89">
        <f t="shared" si="73"/>
        <v>45.85</v>
      </c>
      <c r="R89">
        <f t="shared" si="74"/>
        <v>12.25</v>
      </c>
      <c r="S89">
        <f t="shared" si="75"/>
        <v>2730.47</v>
      </c>
      <c r="T89">
        <f t="shared" si="76"/>
        <v>0</v>
      </c>
      <c r="U89">
        <f t="shared" si="77"/>
        <v>42.302519999999987</v>
      </c>
      <c r="V89">
        <f t="shared" si="78"/>
        <v>0.1404</v>
      </c>
      <c r="W89">
        <f t="shared" si="79"/>
        <v>0</v>
      </c>
      <c r="X89">
        <f t="shared" si="80"/>
        <v>2605.58</v>
      </c>
      <c r="Y89">
        <f t="shared" si="81"/>
        <v>1289.08</v>
      </c>
      <c r="AA89">
        <v>16808636</v>
      </c>
      <c r="AB89">
        <f t="shared" si="82"/>
        <v>88.59</v>
      </c>
      <c r="AC89">
        <f t="shared" si="83"/>
        <v>0.18</v>
      </c>
      <c r="AD89">
        <f>ROUND((((((ET89*1.25)*1.2))-(((EU89*1.25)*1.2)))+AE89),2)</f>
        <v>1.46</v>
      </c>
      <c r="AE89">
        <f>ROUND((((EU89*1.25)*1.2)),2)</f>
        <v>0.39</v>
      </c>
      <c r="AF89">
        <f>ROUND((((EV89*1.15)*1.2)),2)</f>
        <v>86.95</v>
      </c>
      <c r="AG89">
        <f t="shared" si="84"/>
        <v>0</v>
      </c>
      <c r="AH89">
        <f>(((EW89*1.15)*1.2))</f>
        <v>9.0389999999999979</v>
      </c>
      <c r="AI89">
        <f>(((EX89*1.25)*1.2))</f>
        <v>0.03</v>
      </c>
      <c r="AJ89">
        <f t="shared" si="85"/>
        <v>0</v>
      </c>
      <c r="AK89">
        <v>64.16</v>
      </c>
      <c r="AL89">
        <v>0.18</v>
      </c>
      <c r="AM89">
        <v>0.97</v>
      </c>
      <c r="AN89">
        <v>0.26</v>
      </c>
      <c r="AO89">
        <v>63.01</v>
      </c>
      <c r="AP89">
        <v>0</v>
      </c>
      <c r="AQ89">
        <v>6.55</v>
      </c>
      <c r="AR89">
        <v>0.02</v>
      </c>
      <c r="AS89">
        <v>0</v>
      </c>
      <c r="AT89">
        <v>95</v>
      </c>
      <c r="AU89">
        <v>47</v>
      </c>
      <c r="AV89">
        <v>1</v>
      </c>
      <c r="AW89">
        <v>1</v>
      </c>
      <c r="AZ89">
        <v>6.71</v>
      </c>
      <c r="BA89">
        <v>6.71</v>
      </c>
      <c r="BB89">
        <v>6.71</v>
      </c>
      <c r="BC89">
        <v>6.71</v>
      </c>
      <c r="BD89" t="s">
        <v>6</v>
      </c>
      <c r="BE89" t="s">
        <v>6</v>
      </c>
      <c r="BF89" t="s">
        <v>6</v>
      </c>
      <c r="BG89" t="s">
        <v>6</v>
      </c>
      <c r="BH89">
        <v>0</v>
      </c>
      <c r="BI89">
        <v>1</v>
      </c>
      <c r="BJ89" t="s">
        <v>222</v>
      </c>
      <c r="BM89">
        <v>15001</v>
      </c>
      <c r="BN89">
        <v>0</v>
      </c>
      <c r="BO89" t="s">
        <v>6</v>
      </c>
      <c r="BP89">
        <v>0</v>
      </c>
      <c r="BQ89">
        <v>2</v>
      </c>
      <c r="BR89">
        <v>0</v>
      </c>
      <c r="BS89">
        <v>6.71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105</v>
      </c>
      <c r="CA89">
        <v>55</v>
      </c>
      <c r="CE89">
        <v>0</v>
      </c>
      <c r="CF89">
        <v>0</v>
      </c>
      <c r="CG89">
        <v>0</v>
      </c>
      <c r="CM89">
        <v>0</v>
      </c>
      <c r="CN89" t="s">
        <v>1057</v>
      </c>
      <c r="CO89">
        <v>0</v>
      </c>
      <c r="CP89">
        <f t="shared" si="86"/>
        <v>2781.97</v>
      </c>
      <c r="CQ89">
        <f t="shared" si="87"/>
        <v>1.2078</v>
      </c>
      <c r="CR89">
        <f t="shared" si="88"/>
        <v>9.7965999999999998</v>
      </c>
      <c r="CS89">
        <f t="shared" si="89"/>
        <v>2.6169000000000002</v>
      </c>
      <c r="CT89">
        <f t="shared" si="90"/>
        <v>583.43450000000007</v>
      </c>
      <c r="CU89">
        <f t="shared" si="91"/>
        <v>0</v>
      </c>
      <c r="CV89">
        <f t="shared" si="92"/>
        <v>9.0389999999999979</v>
      </c>
      <c r="CW89">
        <f t="shared" si="93"/>
        <v>0.03</v>
      </c>
      <c r="CX89">
        <f t="shared" si="94"/>
        <v>0</v>
      </c>
      <c r="CY89">
        <f t="shared" si="95"/>
        <v>2605.5839999999998</v>
      </c>
      <c r="CZ89">
        <f t="shared" si="96"/>
        <v>1289.0783999999999</v>
      </c>
      <c r="DC89" t="s">
        <v>6</v>
      </c>
      <c r="DD89" t="s">
        <v>6</v>
      </c>
      <c r="DE89" t="s">
        <v>174</v>
      </c>
      <c r="DF89" t="s">
        <v>174</v>
      </c>
      <c r="DG89" t="s">
        <v>175</v>
      </c>
      <c r="DH89" t="s">
        <v>6</v>
      </c>
      <c r="DI89" t="s">
        <v>175</v>
      </c>
      <c r="DJ89" t="s">
        <v>174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1005</v>
      </c>
      <c r="DV89" t="s">
        <v>18</v>
      </c>
      <c r="DW89" t="s">
        <v>18</v>
      </c>
      <c r="DX89">
        <v>100</v>
      </c>
      <c r="EE89">
        <v>16510513</v>
      </c>
      <c r="EF89">
        <v>2</v>
      </c>
      <c r="EG89" t="s">
        <v>20</v>
      </c>
      <c r="EH89">
        <v>0</v>
      </c>
      <c r="EI89" t="s">
        <v>6</v>
      </c>
      <c r="EJ89">
        <v>1</v>
      </c>
      <c r="EK89">
        <v>15001</v>
      </c>
      <c r="EL89" t="s">
        <v>223</v>
      </c>
      <c r="EM89" t="s">
        <v>224</v>
      </c>
      <c r="EO89" t="s">
        <v>178</v>
      </c>
      <c r="EQ89">
        <v>0</v>
      </c>
      <c r="ER89">
        <v>64.16</v>
      </c>
      <c r="ES89">
        <v>0.18</v>
      </c>
      <c r="ET89">
        <v>0.97</v>
      </c>
      <c r="EU89">
        <v>0.26</v>
      </c>
      <c r="EV89">
        <v>63.01</v>
      </c>
      <c r="EW89">
        <v>6.55</v>
      </c>
      <c r="EX89">
        <v>0.02</v>
      </c>
      <c r="EY89">
        <v>0</v>
      </c>
      <c r="FQ89">
        <v>0</v>
      </c>
      <c r="FR89">
        <f t="shared" si="97"/>
        <v>0</v>
      </c>
      <c r="FS89">
        <v>0</v>
      </c>
      <c r="FT89" t="s">
        <v>23</v>
      </c>
      <c r="FU89" t="s">
        <v>24</v>
      </c>
      <c r="FX89">
        <v>94.5</v>
      </c>
      <c r="FY89">
        <v>46.75</v>
      </c>
      <c r="GA89" t="s">
        <v>6</v>
      </c>
      <c r="GD89">
        <v>0</v>
      </c>
      <c r="GF89">
        <v>-2014629731</v>
      </c>
      <c r="GG89">
        <v>1</v>
      </c>
      <c r="GH89">
        <v>1</v>
      </c>
      <c r="GI89">
        <v>4</v>
      </c>
      <c r="GJ89">
        <v>0</v>
      </c>
      <c r="GK89">
        <f>ROUND(R89*(R12)/100,2)</f>
        <v>0</v>
      </c>
      <c r="GL89">
        <f t="shared" si="98"/>
        <v>0</v>
      </c>
      <c r="GM89">
        <f t="shared" si="99"/>
        <v>6676.63</v>
      </c>
      <c r="GN89">
        <f t="shared" si="100"/>
        <v>6676.63</v>
      </c>
      <c r="GO89">
        <f t="shared" si="101"/>
        <v>0</v>
      </c>
      <c r="GP89">
        <f t="shared" si="102"/>
        <v>0</v>
      </c>
      <c r="GR89">
        <v>0</v>
      </c>
      <c r="GS89">
        <v>3</v>
      </c>
      <c r="GT89">
        <v>0</v>
      </c>
      <c r="GU89" t="s">
        <v>6</v>
      </c>
      <c r="GV89">
        <f t="shared" si="103"/>
        <v>0</v>
      </c>
      <c r="GW89">
        <v>1</v>
      </c>
      <c r="GX89">
        <f t="shared" si="104"/>
        <v>0</v>
      </c>
      <c r="HA89">
        <v>0</v>
      </c>
      <c r="HB89">
        <v>0</v>
      </c>
      <c r="HC89">
        <f t="shared" si="105"/>
        <v>0</v>
      </c>
      <c r="IK89">
        <v>0</v>
      </c>
    </row>
    <row r="90" spans="1:245" x14ac:dyDescent="0.2">
      <c r="A90">
        <v>18</v>
      </c>
      <c r="B90">
        <v>1</v>
      </c>
      <c r="C90">
        <v>99</v>
      </c>
      <c r="E90" t="s">
        <v>225</v>
      </c>
      <c r="F90" t="s">
        <v>226</v>
      </c>
      <c r="G90" t="s">
        <v>227</v>
      </c>
      <c r="H90" t="s">
        <v>104</v>
      </c>
      <c r="I90">
        <f>I89*J90</f>
        <v>6.0839999999999998E-2</v>
      </c>
      <c r="J90">
        <v>1.3000000000000001E-2</v>
      </c>
      <c r="O90">
        <f t="shared" si="71"/>
        <v>0</v>
      </c>
      <c r="P90">
        <f t="shared" si="72"/>
        <v>0</v>
      </c>
      <c r="Q90">
        <f t="shared" si="73"/>
        <v>0</v>
      </c>
      <c r="R90">
        <f t="shared" si="74"/>
        <v>0</v>
      </c>
      <c r="S90">
        <f t="shared" si="75"/>
        <v>0</v>
      </c>
      <c r="T90">
        <f t="shared" si="76"/>
        <v>0</v>
      </c>
      <c r="U90">
        <f t="shared" si="77"/>
        <v>0</v>
      </c>
      <c r="V90">
        <f t="shared" si="78"/>
        <v>0</v>
      </c>
      <c r="W90">
        <f t="shared" si="79"/>
        <v>0</v>
      </c>
      <c r="X90">
        <f t="shared" si="80"/>
        <v>0</v>
      </c>
      <c r="Y90">
        <f t="shared" si="81"/>
        <v>0</v>
      </c>
      <c r="AA90">
        <v>16808636</v>
      </c>
      <c r="AB90">
        <f t="shared" si="82"/>
        <v>0</v>
      </c>
      <c r="AC90">
        <f t="shared" si="83"/>
        <v>0</v>
      </c>
      <c r="AD90">
        <f t="shared" ref="AD90:AD97" si="110">ROUND((((ET90)-(EU90))+AE90),2)</f>
        <v>0</v>
      </c>
      <c r="AE90">
        <f t="shared" ref="AE90:AF97" si="111">ROUND((EU90),2)</f>
        <v>0</v>
      </c>
      <c r="AF90">
        <f t="shared" si="111"/>
        <v>0</v>
      </c>
      <c r="AG90">
        <f t="shared" si="84"/>
        <v>0</v>
      </c>
      <c r="AH90">
        <f t="shared" ref="AH90:AI97" si="112">(EW90)</f>
        <v>0</v>
      </c>
      <c r="AI90">
        <f t="shared" si="112"/>
        <v>0</v>
      </c>
      <c r="AJ90">
        <f t="shared" si="85"/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95</v>
      </c>
      <c r="AU90">
        <v>47</v>
      </c>
      <c r="AV90">
        <v>1</v>
      </c>
      <c r="AW90">
        <v>1</v>
      </c>
      <c r="AZ90">
        <v>6.71</v>
      </c>
      <c r="BA90">
        <v>1</v>
      </c>
      <c r="BB90">
        <v>1</v>
      </c>
      <c r="BC90">
        <v>6.71</v>
      </c>
      <c r="BD90" t="s">
        <v>6</v>
      </c>
      <c r="BE90" t="s">
        <v>6</v>
      </c>
      <c r="BF90" t="s">
        <v>6</v>
      </c>
      <c r="BG90" t="s">
        <v>6</v>
      </c>
      <c r="BH90">
        <v>3</v>
      </c>
      <c r="BI90">
        <v>1</v>
      </c>
      <c r="BJ90" t="s">
        <v>6</v>
      </c>
      <c r="BM90">
        <v>15001</v>
      </c>
      <c r="BN90">
        <v>0</v>
      </c>
      <c r="BO90" t="s">
        <v>6</v>
      </c>
      <c r="BP90">
        <v>0</v>
      </c>
      <c r="BQ90">
        <v>2</v>
      </c>
      <c r="BR90">
        <v>0</v>
      </c>
      <c r="BS90">
        <v>1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6</v>
      </c>
      <c r="BZ90">
        <v>105</v>
      </c>
      <c r="CA90">
        <v>55</v>
      </c>
      <c r="CE90">
        <v>0</v>
      </c>
      <c r="CF90">
        <v>0</v>
      </c>
      <c r="CG90">
        <v>0</v>
      </c>
      <c r="CM90">
        <v>0</v>
      </c>
      <c r="CN90" t="s">
        <v>6</v>
      </c>
      <c r="CO90">
        <v>0</v>
      </c>
      <c r="CP90">
        <f t="shared" si="86"/>
        <v>0</v>
      </c>
      <c r="CQ90">
        <f t="shared" si="87"/>
        <v>0</v>
      </c>
      <c r="CR90">
        <f t="shared" si="88"/>
        <v>0</v>
      </c>
      <c r="CS90">
        <f t="shared" si="89"/>
        <v>0</v>
      </c>
      <c r="CT90">
        <f t="shared" si="90"/>
        <v>0</v>
      </c>
      <c r="CU90">
        <f t="shared" si="91"/>
        <v>0</v>
      </c>
      <c r="CV90">
        <f t="shared" si="92"/>
        <v>0</v>
      </c>
      <c r="CW90">
        <f t="shared" si="93"/>
        <v>0</v>
      </c>
      <c r="CX90">
        <f t="shared" si="94"/>
        <v>0</v>
      </c>
      <c r="CY90">
        <f t="shared" si="95"/>
        <v>0</v>
      </c>
      <c r="CZ90">
        <f t="shared" si="96"/>
        <v>0</v>
      </c>
      <c r="DC90" t="s">
        <v>6</v>
      </c>
      <c r="DD90" t="s">
        <v>6</v>
      </c>
      <c r="DE90" t="s">
        <v>6</v>
      </c>
      <c r="DF90" t="s">
        <v>6</v>
      </c>
      <c r="DG90" t="s">
        <v>6</v>
      </c>
      <c r="DH90" t="s">
        <v>6</v>
      </c>
      <c r="DI90" t="s">
        <v>6</v>
      </c>
      <c r="DJ90" t="s">
        <v>6</v>
      </c>
      <c r="DK90" t="s">
        <v>6</v>
      </c>
      <c r="DL90" t="s">
        <v>6</v>
      </c>
      <c r="DM90" t="s">
        <v>6</v>
      </c>
      <c r="DN90">
        <v>0</v>
      </c>
      <c r="DO90">
        <v>0</v>
      </c>
      <c r="DP90">
        <v>1</v>
      </c>
      <c r="DQ90">
        <v>1</v>
      </c>
      <c r="DU90">
        <v>1009</v>
      </c>
      <c r="DV90" t="s">
        <v>104</v>
      </c>
      <c r="DW90" t="s">
        <v>104</v>
      </c>
      <c r="DX90">
        <v>1000</v>
      </c>
      <c r="EE90">
        <v>16510513</v>
      </c>
      <c r="EF90">
        <v>2</v>
      </c>
      <c r="EG90" t="s">
        <v>20</v>
      </c>
      <c r="EH90">
        <v>0</v>
      </c>
      <c r="EI90" t="s">
        <v>6</v>
      </c>
      <c r="EJ90">
        <v>1</v>
      </c>
      <c r="EK90">
        <v>15001</v>
      </c>
      <c r="EL90" t="s">
        <v>223</v>
      </c>
      <c r="EM90" t="s">
        <v>224</v>
      </c>
      <c r="EO90" t="s">
        <v>6</v>
      </c>
      <c r="EQ90">
        <v>0</v>
      </c>
      <c r="ER90">
        <v>0</v>
      </c>
      <c r="ES90">
        <v>0</v>
      </c>
      <c r="ET90">
        <v>0</v>
      </c>
      <c r="EU90">
        <v>0</v>
      </c>
      <c r="EV90">
        <v>0</v>
      </c>
      <c r="EW90">
        <v>0</v>
      </c>
      <c r="EX90">
        <v>0</v>
      </c>
      <c r="FQ90">
        <v>0</v>
      </c>
      <c r="FR90">
        <f t="shared" si="97"/>
        <v>0</v>
      </c>
      <c r="FS90">
        <v>0</v>
      </c>
      <c r="FT90" t="s">
        <v>23</v>
      </c>
      <c r="FU90" t="s">
        <v>24</v>
      </c>
      <c r="FX90">
        <v>94.5</v>
      </c>
      <c r="FY90">
        <v>46.75</v>
      </c>
      <c r="GA90" t="s">
        <v>6</v>
      </c>
      <c r="GD90">
        <v>0</v>
      </c>
      <c r="GF90">
        <v>-1212923053</v>
      </c>
      <c r="GG90">
        <v>1</v>
      </c>
      <c r="GH90">
        <v>1</v>
      </c>
      <c r="GI90">
        <v>4</v>
      </c>
      <c r="GJ90">
        <v>0</v>
      </c>
      <c r="GK90">
        <f>ROUND(R90*(R12)/100,2)</f>
        <v>0</v>
      </c>
      <c r="GL90">
        <f t="shared" si="98"/>
        <v>0</v>
      </c>
      <c r="GM90">
        <f t="shared" si="99"/>
        <v>0</v>
      </c>
      <c r="GN90">
        <f t="shared" si="100"/>
        <v>0</v>
      </c>
      <c r="GO90">
        <f t="shared" si="101"/>
        <v>0</v>
      </c>
      <c r="GP90">
        <f t="shared" si="102"/>
        <v>0</v>
      </c>
      <c r="GR90">
        <v>0</v>
      </c>
      <c r="GS90">
        <v>3</v>
      </c>
      <c r="GT90">
        <v>0</v>
      </c>
      <c r="GU90" t="s">
        <v>6</v>
      </c>
      <c r="GV90">
        <f t="shared" si="103"/>
        <v>0</v>
      </c>
      <c r="GW90">
        <v>1</v>
      </c>
      <c r="GX90">
        <f t="shared" si="104"/>
        <v>0</v>
      </c>
      <c r="HA90">
        <v>0</v>
      </c>
      <c r="HB90">
        <v>0</v>
      </c>
      <c r="HC90">
        <f t="shared" si="105"/>
        <v>0</v>
      </c>
      <c r="IK90">
        <v>0</v>
      </c>
    </row>
    <row r="91" spans="1:245" x14ac:dyDescent="0.2">
      <c r="A91">
        <v>18</v>
      </c>
      <c r="B91">
        <v>1</v>
      </c>
      <c r="C91">
        <v>98</v>
      </c>
      <c r="E91" t="s">
        <v>228</v>
      </c>
      <c r="F91" t="s">
        <v>229</v>
      </c>
      <c r="G91" t="s">
        <v>230</v>
      </c>
      <c r="H91" t="s">
        <v>104</v>
      </c>
      <c r="I91">
        <f>I89*J91</f>
        <v>6.0839999999999998E-2</v>
      </c>
      <c r="J91">
        <v>1.3000000000000001E-2</v>
      </c>
      <c r="O91">
        <f t="shared" si="71"/>
        <v>12473.43</v>
      </c>
      <c r="P91">
        <f t="shared" si="72"/>
        <v>12473.43</v>
      </c>
      <c r="Q91">
        <f t="shared" si="73"/>
        <v>0</v>
      </c>
      <c r="R91">
        <f t="shared" si="74"/>
        <v>0</v>
      </c>
      <c r="S91">
        <f t="shared" si="75"/>
        <v>0</v>
      </c>
      <c r="T91">
        <f t="shared" si="76"/>
        <v>0</v>
      </c>
      <c r="U91">
        <f t="shared" si="77"/>
        <v>0</v>
      </c>
      <c r="V91">
        <f t="shared" si="78"/>
        <v>0</v>
      </c>
      <c r="W91">
        <f t="shared" si="79"/>
        <v>0</v>
      </c>
      <c r="X91">
        <f t="shared" si="80"/>
        <v>0</v>
      </c>
      <c r="Y91">
        <f t="shared" si="81"/>
        <v>0</v>
      </c>
      <c r="AA91">
        <v>16808636</v>
      </c>
      <c r="AB91">
        <f t="shared" si="82"/>
        <v>30554.42</v>
      </c>
      <c r="AC91">
        <f t="shared" si="83"/>
        <v>30554.42</v>
      </c>
      <c r="AD91">
        <f t="shared" si="110"/>
        <v>0</v>
      </c>
      <c r="AE91">
        <f t="shared" si="111"/>
        <v>0</v>
      </c>
      <c r="AF91">
        <f t="shared" si="111"/>
        <v>0</v>
      </c>
      <c r="AG91">
        <f t="shared" si="84"/>
        <v>0</v>
      </c>
      <c r="AH91">
        <f t="shared" si="112"/>
        <v>0</v>
      </c>
      <c r="AI91">
        <f t="shared" si="112"/>
        <v>0</v>
      </c>
      <c r="AJ91">
        <f t="shared" si="85"/>
        <v>0</v>
      </c>
      <c r="AK91">
        <v>30554.42</v>
      </c>
      <c r="AL91">
        <v>30554.42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95</v>
      </c>
      <c r="AU91">
        <v>47</v>
      </c>
      <c r="AV91">
        <v>1</v>
      </c>
      <c r="AW91">
        <v>1</v>
      </c>
      <c r="AZ91">
        <v>6.71</v>
      </c>
      <c r="BA91">
        <v>1</v>
      </c>
      <c r="BB91">
        <v>1</v>
      </c>
      <c r="BC91">
        <v>6.71</v>
      </c>
      <c r="BD91" t="s">
        <v>6</v>
      </c>
      <c r="BE91" t="s">
        <v>6</v>
      </c>
      <c r="BF91" t="s">
        <v>6</v>
      </c>
      <c r="BG91" t="s">
        <v>6</v>
      </c>
      <c r="BH91">
        <v>3</v>
      </c>
      <c r="BI91">
        <v>1</v>
      </c>
      <c r="BJ91" t="s">
        <v>231</v>
      </c>
      <c r="BM91">
        <v>15001</v>
      </c>
      <c r="BN91">
        <v>0</v>
      </c>
      <c r="BO91" t="s">
        <v>6</v>
      </c>
      <c r="BP91">
        <v>0</v>
      </c>
      <c r="BQ91">
        <v>2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105</v>
      </c>
      <c r="CA91">
        <v>55</v>
      </c>
      <c r="CE91">
        <v>0</v>
      </c>
      <c r="CF91">
        <v>0</v>
      </c>
      <c r="CG91">
        <v>0</v>
      </c>
      <c r="CM91">
        <v>0</v>
      </c>
      <c r="CN91" t="s">
        <v>6</v>
      </c>
      <c r="CO91">
        <v>0</v>
      </c>
      <c r="CP91">
        <f t="shared" si="86"/>
        <v>12473.43</v>
      </c>
      <c r="CQ91">
        <f t="shared" si="87"/>
        <v>205020.15819999998</v>
      </c>
      <c r="CR91">
        <f t="shared" si="88"/>
        <v>0</v>
      </c>
      <c r="CS91">
        <f t="shared" si="89"/>
        <v>0</v>
      </c>
      <c r="CT91">
        <f t="shared" si="90"/>
        <v>0</v>
      </c>
      <c r="CU91">
        <f t="shared" si="91"/>
        <v>0</v>
      </c>
      <c r="CV91">
        <f t="shared" si="92"/>
        <v>0</v>
      </c>
      <c r="CW91">
        <f t="shared" si="93"/>
        <v>0</v>
      </c>
      <c r="CX91">
        <f t="shared" si="94"/>
        <v>0</v>
      </c>
      <c r="CY91">
        <f t="shared" si="95"/>
        <v>0</v>
      </c>
      <c r="CZ91">
        <f t="shared" si="96"/>
        <v>0</v>
      </c>
      <c r="DC91" t="s">
        <v>6</v>
      </c>
      <c r="DD91" t="s">
        <v>6</v>
      </c>
      <c r="DE91" t="s">
        <v>6</v>
      </c>
      <c r="DF91" t="s">
        <v>6</v>
      </c>
      <c r="DG91" t="s">
        <v>6</v>
      </c>
      <c r="DH91" t="s">
        <v>6</v>
      </c>
      <c r="DI91" t="s">
        <v>6</v>
      </c>
      <c r="DJ91" t="s">
        <v>6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1009</v>
      </c>
      <c r="DV91" t="s">
        <v>104</v>
      </c>
      <c r="DW91" t="s">
        <v>104</v>
      </c>
      <c r="DX91">
        <v>1000</v>
      </c>
      <c r="EE91">
        <v>16510513</v>
      </c>
      <c r="EF91">
        <v>2</v>
      </c>
      <c r="EG91" t="s">
        <v>20</v>
      </c>
      <c r="EH91">
        <v>0</v>
      </c>
      <c r="EI91" t="s">
        <v>6</v>
      </c>
      <c r="EJ91">
        <v>1</v>
      </c>
      <c r="EK91">
        <v>15001</v>
      </c>
      <c r="EL91" t="s">
        <v>223</v>
      </c>
      <c r="EM91" t="s">
        <v>224</v>
      </c>
      <c r="EO91" t="s">
        <v>6</v>
      </c>
      <c r="EQ91">
        <v>0</v>
      </c>
      <c r="ER91">
        <v>30554.42</v>
      </c>
      <c r="ES91">
        <v>30554.42</v>
      </c>
      <c r="ET91">
        <v>0</v>
      </c>
      <c r="EU91">
        <v>0</v>
      </c>
      <c r="EV91">
        <v>0</v>
      </c>
      <c r="EW91">
        <v>0</v>
      </c>
      <c r="EX91">
        <v>0</v>
      </c>
      <c r="FQ91">
        <v>0</v>
      </c>
      <c r="FR91">
        <f t="shared" si="97"/>
        <v>0</v>
      </c>
      <c r="FS91">
        <v>0</v>
      </c>
      <c r="FT91" t="s">
        <v>23</v>
      </c>
      <c r="FU91" t="s">
        <v>24</v>
      </c>
      <c r="FX91">
        <v>94.5</v>
      </c>
      <c r="FY91">
        <v>46.75</v>
      </c>
      <c r="GA91" t="s">
        <v>6</v>
      </c>
      <c r="GD91">
        <v>0</v>
      </c>
      <c r="GF91">
        <v>-1643184550</v>
      </c>
      <c r="GG91">
        <v>1</v>
      </c>
      <c r="GH91">
        <v>1</v>
      </c>
      <c r="GI91">
        <v>4</v>
      </c>
      <c r="GJ91">
        <v>0</v>
      </c>
      <c r="GK91">
        <f>ROUND(R91*(R12)/100,2)</f>
        <v>0</v>
      </c>
      <c r="GL91">
        <f t="shared" si="98"/>
        <v>0</v>
      </c>
      <c r="GM91">
        <f t="shared" si="99"/>
        <v>12473.43</v>
      </c>
      <c r="GN91">
        <f t="shared" si="100"/>
        <v>12473.43</v>
      </c>
      <c r="GO91">
        <f t="shared" si="101"/>
        <v>0</v>
      </c>
      <c r="GP91">
        <f t="shared" si="102"/>
        <v>0</v>
      </c>
      <c r="GR91">
        <v>0</v>
      </c>
      <c r="GS91">
        <v>3</v>
      </c>
      <c r="GT91">
        <v>0</v>
      </c>
      <c r="GU91" t="s">
        <v>6</v>
      </c>
      <c r="GV91">
        <f t="shared" si="103"/>
        <v>0</v>
      </c>
      <c r="GW91">
        <v>1</v>
      </c>
      <c r="GX91">
        <f t="shared" si="104"/>
        <v>0</v>
      </c>
      <c r="HA91">
        <v>0</v>
      </c>
      <c r="HB91">
        <v>0</v>
      </c>
      <c r="HC91">
        <f t="shared" si="105"/>
        <v>0</v>
      </c>
      <c r="IK91">
        <v>0</v>
      </c>
    </row>
    <row r="92" spans="1:245" x14ac:dyDescent="0.2">
      <c r="A92">
        <v>17</v>
      </c>
      <c r="B92">
        <v>1</v>
      </c>
      <c r="C92">
        <f>ROW(SmtRes!A112)</f>
        <v>112</v>
      </c>
      <c r="D92">
        <f>ROW(EtalonRes!A115)</f>
        <v>115</v>
      </c>
      <c r="E92" t="s">
        <v>232</v>
      </c>
      <c r="F92" t="s">
        <v>233</v>
      </c>
      <c r="G92" t="s">
        <v>234</v>
      </c>
      <c r="H92" t="s">
        <v>18</v>
      </c>
      <c r="I92">
        <f>ROUND(166.3/100,9)</f>
        <v>1.663</v>
      </c>
      <c r="J92">
        <v>0</v>
      </c>
      <c r="O92">
        <f t="shared" si="71"/>
        <v>9064.4599999999991</v>
      </c>
      <c r="P92">
        <f t="shared" si="72"/>
        <v>5728.78</v>
      </c>
      <c r="Q92">
        <f t="shared" si="73"/>
        <v>78.89</v>
      </c>
      <c r="R92">
        <f t="shared" si="74"/>
        <v>22.88</v>
      </c>
      <c r="S92">
        <f t="shared" si="75"/>
        <v>3256.79</v>
      </c>
      <c r="T92">
        <f t="shared" si="76"/>
        <v>0</v>
      </c>
      <c r="U92">
        <f t="shared" si="77"/>
        <v>56.176140000000004</v>
      </c>
      <c r="V92">
        <f t="shared" si="78"/>
        <v>0.26607999999999998</v>
      </c>
      <c r="W92">
        <f t="shared" si="79"/>
        <v>0</v>
      </c>
      <c r="X92">
        <f t="shared" si="80"/>
        <v>2623.74</v>
      </c>
      <c r="Y92">
        <f t="shared" si="81"/>
        <v>1639.84</v>
      </c>
      <c r="AA92">
        <v>16808636</v>
      </c>
      <c r="AB92">
        <f t="shared" si="82"/>
        <v>812.32</v>
      </c>
      <c r="AC92">
        <f t="shared" si="83"/>
        <v>513.39</v>
      </c>
      <c r="AD92">
        <f t="shared" si="110"/>
        <v>7.07</v>
      </c>
      <c r="AE92">
        <f t="shared" si="111"/>
        <v>2.0499999999999998</v>
      </c>
      <c r="AF92">
        <f t="shared" si="111"/>
        <v>291.86</v>
      </c>
      <c r="AG92">
        <f t="shared" si="84"/>
        <v>0</v>
      </c>
      <c r="AH92">
        <f t="shared" si="112"/>
        <v>33.78</v>
      </c>
      <c r="AI92">
        <f t="shared" si="112"/>
        <v>0.16</v>
      </c>
      <c r="AJ92">
        <f t="shared" si="85"/>
        <v>0</v>
      </c>
      <c r="AK92">
        <v>812.32</v>
      </c>
      <c r="AL92">
        <v>513.39</v>
      </c>
      <c r="AM92">
        <v>7.07</v>
      </c>
      <c r="AN92">
        <v>2.0499999999999998</v>
      </c>
      <c r="AO92">
        <v>291.86</v>
      </c>
      <c r="AP92">
        <v>0</v>
      </c>
      <c r="AQ92">
        <v>33.78</v>
      </c>
      <c r="AR92">
        <v>0.16</v>
      </c>
      <c r="AS92">
        <v>0</v>
      </c>
      <c r="AT92">
        <v>80</v>
      </c>
      <c r="AU92">
        <v>50</v>
      </c>
      <c r="AV92">
        <v>1</v>
      </c>
      <c r="AW92">
        <v>1</v>
      </c>
      <c r="AZ92">
        <v>6.71</v>
      </c>
      <c r="BA92">
        <v>6.71</v>
      </c>
      <c r="BB92">
        <v>6.71</v>
      </c>
      <c r="BC92">
        <v>6.71</v>
      </c>
      <c r="BD92" t="s">
        <v>6</v>
      </c>
      <c r="BE92" t="s">
        <v>6</v>
      </c>
      <c r="BF92" t="s">
        <v>6</v>
      </c>
      <c r="BG92" t="s">
        <v>6</v>
      </c>
      <c r="BH92">
        <v>0</v>
      </c>
      <c r="BI92">
        <v>1</v>
      </c>
      <c r="BJ92" t="s">
        <v>235</v>
      </c>
      <c r="BM92">
        <v>62001</v>
      </c>
      <c r="BN92">
        <v>0</v>
      </c>
      <c r="BO92" t="s">
        <v>6</v>
      </c>
      <c r="BP92">
        <v>0</v>
      </c>
      <c r="BQ92">
        <v>6</v>
      </c>
      <c r="BR92">
        <v>0</v>
      </c>
      <c r="BS92">
        <v>6.71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6</v>
      </c>
      <c r="BZ92">
        <v>80</v>
      </c>
      <c r="CA92">
        <v>50</v>
      </c>
      <c r="CE92">
        <v>0</v>
      </c>
      <c r="CF92">
        <v>0</v>
      </c>
      <c r="CG92">
        <v>0</v>
      </c>
      <c r="CM92">
        <v>0</v>
      </c>
      <c r="CN92" t="s">
        <v>6</v>
      </c>
      <c r="CO92">
        <v>0</v>
      </c>
      <c r="CP92">
        <f t="shared" si="86"/>
        <v>9064.4599999999991</v>
      </c>
      <c r="CQ92">
        <f t="shared" si="87"/>
        <v>3444.8469</v>
      </c>
      <c r="CR92">
        <f t="shared" si="88"/>
        <v>47.439700000000002</v>
      </c>
      <c r="CS92">
        <f t="shared" si="89"/>
        <v>13.7555</v>
      </c>
      <c r="CT92">
        <f t="shared" si="90"/>
        <v>1958.3806000000002</v>
      </c>
      <c r="CU92">
        <f t="shared" si="91"/>
        <v>0</v>
      </c>
      <c r="CV92">
        <f t="shared" si="92"/>
        <v>33.78</v>
      </c>
      <c r="CW92">
        <f t="shared" si="93"/>
        <v>0.16</v>
      </c>
      <c r="CX92">
        <f t="shared" si="94"/>
        <v>0</v>
      </c>
      <c r="CY92">
        <f t="shared" si="95"/>
        <v>2623.7359999999999</v>
      </c>
      <c r="CZ92">
        <f t="shared" si="96"/>
        <v>1639.835</v>
      </c>
      <c r="DC92" t="s">
        <v>6</v>
      </c>
      <c r="DD92" t="s">
        <v>6</v>
      </c>
      <c r="DE92" t="s">
        <v>6</v>
      </c>
      <c r="DF92" t="s">
        <v>6</v>
      </c>
      <c r="DG92" t="s">
        <v>6</v>
      </c>
      <c r="DH92" t="s">
        <v>6</v>
      </c>
      <c r="DI92" t="s">
        <v>6</v>
      </c>
      <c r="DJ92" t="s">
        <v>6</v>
      </c>
      <c r="DK92" t="s">
        <v>6</v>
      </c>
      <c r="DL92" t="s">
        <v>6</v>
      </c>
      <c r="DM92" t="s">
        <v>6</v>
      </c>
      <c r="DN92">
        <v>0</v>
      </c>
      <c r="DO92">
        <v>0</v>
      </c>
      <c r="DP92">
        <v>1</v>
      </c>
      <c r="DQ92">
        <v>1</v>
      </c>
      <c r="DU92">
        <v>1005</v>
      </c>
      <c r="DV92" t="s">
        <v>18</v>
      </c>
      <c r="DW92" t="s">
        <v>18</v>
      </c>
      <c r="DX92">
        <v>100</v>
      </c>
      <c r="EE92">
        <v>16510571</v>
      </c>
      <c r="EF92">
        <v>6</v>
      </c>
      <c r="EG92" t="s">
        <v>30</v>
      </c>
      <c r="EH92">
        <v>0</v>
      </c>
      <c r="EI92" t="s">
        <v>6</v>
      </c>
      <c r="EJ92">
        <v>1</v>
      </c>
      <c r="EK92">
        <v>62001</v>
      </c>
      <c r="EL92" t="s">
        <v>217</v>
      </c>
      <c r="EM92" t="s">
        <v>218</v>
      </c>
      <c r="EO92" t="s">
        <v>6</v>
      </c>
      <c r="EQ92">
        <v>0</v>
      </c>
      <c r="ER92">
        <v>812.32</v>
      </c>
      <c r="ES92">
        <v>513.39</v>
      </c>
      <c r="ET92">
        <v>7.07</v>
      </c>
      <c r="EU92">
        <v>2.0499999999999998</v>
      </c>
      <c r="EV92">
        <v>291.86</v>
      </c>
      <c r="EW92">
        <v>33.78</v>
      </c>
      <c r="EX92">
        <v>0.16</v>
      </c>
      <c r="EY92">
        <v>0</v>
      </c>
      <c r="FQ92">
        <v>0</v>
      </c>
      <c r="FR92">
        <f t="shared" si="97"/>
        <v>0</v>
      </c>
      <c r="FS92">
        <v>0</v>
      </c>
      <c r="FX92">
        <v>80</v>
      </c>
      <c r="FY92">
        <v>50</v>
      </c>
      <c r="GA92" t="s">
        <v>6</v>
      </c>
      <c r="GD92">
        <v>0</v>
      </c>
      <c r="GF92">
        <v>-311457377</v>
      </c>
      <c r="GG92">
        <v>1</v>
      </c>
      <c r="GH92">
        <v>1</v>
      </c>
      <c r="GI92">
        <v>4</v>
      </c>
      <c r="GJ92">
        <v>0</v>
      </c>
      <c r="GK92">
        <f>ROUND(R92*(R12)/100,2)</f>
        <v>0</v>
      </c>
      <c r="GL92">
        <f t="shared" si="98"/>
        <v>0</v>
      </c>
      <c r="GM92">
        <f t="shared" si="99"/>
        <v>13328.04</v>
      </c>
      <c r="GN92">
        <f t="shared" si="100"/>
        <v>13328.04</v>
      </c>
      <c r="GO92">
        <f t="shared" si="101"/>
        <v>0</v>
      </c>
      <c r="GP92">
        <f t="shared" si="102"/>
        <v>0</v>
      </c>
      <c r="GR92">
        <v>0</v>
      </c>
      <c r="GS92">
        <v>3</v>
      </c>
      <c r="GT92">
        <v>0</v>
      </c>
      <c r="GU92" t="s">
        <v>6</v>
      </c>
      <c r="GV92">
        <f t="shared" si="103"/>
        <v>0</v>
      </c>
      <c r="GW92">
        <v>1</v>
      </c>
      <c r="GX92">
        <f t="shared" si="104"/>
        <v>0</v>
      </c>
      <c r="HA92">
        <v>0</v>
      </c>
      <c r="HB92">
        <v>0</v>
      </c>
      <c r="HC92">
        <f t="shared" si="105"/>
        <v>0</v>
      </c>
      <c r="IK92">
        <v>0</v>
      </c>
    </row>
    <row r="93" spans="1:245" x14ac:dyDescent="0.2">
      <c r="A93">
        <v>18</v>
      </c>
      <c r="B93">
        <v>1</v>
      </c>
      <c r="C93">
        <v>110</v>
      </c>
      <c r="E93" t="s">
        <v>236</v>
      </c>
      <c r="F93" t="s">
        <v>237</v>
      </c>
      <c r="G93" t="s">
        <v>238</v>
      </c>
      <c r="H93" t="s">
        <v>104</v>
      </c>
      <c r="I93">
        <f>I92*J93</f>
        <v>0.118073</v>
      </c>
      <c r="J93">
        <v>7.0999999999999994E-2</v>
      </c>
      <c r="O93">
        <f t="shared" si="71"/>
        <v>0</v>
      </c>
      <c r="P93">
        <f t="shared" si="72"/>
        <v>0</v>
      </c>
      <c r="Q93">
        <f t="shared" si="73"/>
        <v>0</v>
      </c>
      <c r="R93">
        <f t="shared" si="74"/>
        <v>0</v>
      </c>
      <c r="S93">
        <f t="shared" si="75"/>
        <v>0</v>
      </c>
      <c r="T93">
        <f t="shared" si="76"/>
        <v>0</v>
      </c>
      <c r="U93">
        <f t="shared" si="77"/>
        <v>0</v>
      </c>
      <c r="V93">
        <f t="shared" si="78"/>
        <v>0</v>
      </c>
      <c r="W93">
        <f t="shared" si="79"/>
        <v>0</v>
      </c>
      <c r="X93">
        <f t="shared" si="80"/>
        <v>0</v>
      </c>
      <c r="Y93">
        <f t="shared" si="81"/>
        <v>0</v>
      </c>
      <c r="AA93">
        <v>16808636</v>
      </c>
      <c r="AB93">
        <f t="shared" si="82"/>
        <v>0</v>
      </c>
      <c r="AC93">
        <f t="shared" si="83"/>
        <v>0</v>
      </c>
      <c r="AD93">
        <f t="shared" si="110"/>
        <v>0</v>
      </c>
      <c r="AE93">
        <f t="shared" si="111"/>
        <v>0</v>
      </c>
      <c r="AF93">
        <f t="shared" si="111"/>
        <v>0</v>
      </c>
      <c r="AG93">
        <f t="shared" si="84"/>
        <v>0</v>
      </c>
      <c r="AH93">
        <f t="shared" si="112"/>
        <v>0</v>
      </c>
      <c r="AI93">
        <f t="shared" si="112"/>
        <v>0</v>
      </c>
      <c r="AJ93">
        <f t="shared" si="85"/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80</v>
      </c>
      <c r="AU93">
        <v>50</v>
      </c>
      <c r="AV93">
        <v>1</v>
      </c>
      <c r="AW93">
        <v>1</v>
      </c>
      <c r="AZ93">
        <v>6.71</v>
      </c>
      <c r="BA93">
        <v>1</v>
      </c>
      <c r="BB93">
        <v>1</v>
      </c>
      <c r="BC93">
        <v>6.71</v>
      </c>
      <c r="BD93" t="s">
        <v>6</v>
      </c>
      <c r="BE93" t="s">
        <v>6</v>
      </c>
      <c r="BF93" t="s">
        <v>6</v>
      </c>
      <c r="BG93" t="s">
        <v>6</v>
      </c>
      <c r="BH93">
        <v>3</v>
      </c>
      <c r="BI93">
        <v>1</v>
      </c>
      <c r="BJ93" t="s">
        <v>6</v>
      </c>
      <c r="BM93">
        <v>62001</v>
      </c>
      <c r="BN93">
        <v>0</v>
      </c>
      <c r="BO93" t="s">
        <v>6</v>
      </c>
      <c r="BP93">
        <v>0</v>
      </c>
      <c r="BQ93">
        <v>6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80</v>
      </c>
      <c r="CA93">
        <v>50</v>
      </c>
      <c r="CE93">
        <v>0</v>
      </c>
      <c r="CF93">
        <v>0</v>
      </c>
      <c r="CG93">
        <v>0</v>
      </c>
      <c r="CM93">
        <v>0</v>
      </c>
      <c r="CN93" t="s">
        <v>6</v>
      </c>
      <c r="CO93">
        <v>0</v>
      </c>
      <c r="CP93">
        <f t="shared" si="86"/>
        <v>0</v>
      </c>
      <c r="CQ93">
        <f t="shared" si="87"/>
        <v>0</v>
      </c>
      <c r="CR93">
        <f t="shared" si="88"/>
        <v>0</v>
      </c>
      <c r="CS93">
        <f t="shared" si="89"/>
        <v>0</v>
      </c>
      <c r="CT93">
        <f t="shared" si="90"/>
        <v>0</v>
      </c>
      <c r="CU93">
        <f t="shared" si="91"/>
        <v>0</v>
      </c>
      <c r="CV93">
        <f t="shared" si="92"/>
        <v>0</v>
      </c>
      <c r="CW93">
        <f t="shared" si="93"/>
        <v>0</v>
      </c>
      <c r="CX93">
        <f t="shared" si="94"/>
        <v>0</v>
      </c>
      <c r="CY93">
        <f t="shared" si="95"/>
        <v>0</v>
      </c>
      <c r="CZ93">
        <f t="shared" si="96"/>
        <v>0</v>
      </c>
      <c r="DC93" t="s">
        <v>6</v>
      </c>
      <c r="DD93" t="s">
        <v>6</v>
      </c>
      <c r="DE93" t="s">
        <v>6</v>
      </c>
      <c r="DF93" t="s">
        <v>6</v>
      </c>
      <c r="DG93" t="s">
        <v>6</v>
      </c>
      <c r="DH93" t="s">
        <v>6</v>
      </c>
      <c r="DI93" t="s">
        <v>6</v>
      </c>
      <c r="DJ93" t="s">
        <v>6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1009</v>
      </c>
      <c r="DV93" t="s">
        <v>104</v>
      </c>
      <c r="DW93" t="s">
        <v>104</v>
      </c>
      <c r="DX93">
        <v>1000</v>
      </c>
      <c r="EE93">
        <v>16510571</v>
      </c>
      <c r="EF93">
        <v>6</v>
      </c>
      <c r="EG93" t="s">
        <v>30</v>
      </c>
      <c r="EH93">
        <v>0</v>
      </c>
      <c r="EI93" t="s">
        <v>6</v>
      </c>
      <c r="EJ93">
        <v>1</v>
      </c>
      <c r="EK93">
        <v>62001</v>
      </c>
      <c r="EL93" t="s">
        <v>217</v>
      </c>
      <c r="EM93" t="s">
        <v>218</v>
      </c>
      <c r="EO93" t="s">
        <v>6</v>
      </c>
      <c r="EQ93">
        <v>0</v>
      </c>
      <c r="ER93">
        <v>0</v>
      </c>
      <c r="ES93">
        <v>0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97"/>
        <v>0</v>
      </c>
      <c r="FS93">
        <v>0</v>
      </c>
      <c r="FX93">
        <v>80</v>
      </c>
      <c r="FY93">
        <v>50</v>
      </c>
      <c r="GA93" t="s">
        <v>6</v>
      </c>
      <c r="GD93">
        <v>0</v>
      </c>
      <c r="GF93">
        <v>1891904026</v>
      </c>
      <c r="GG93">
        <v>1</v>
      </c>
      <c r="GH93">
        <v>1</v>
      </c>
      <c r="GI93">
        <v>4</v>
      </c>
      <c r="GJ93">
        <v>0</v>
      </c>
      <c r="GK93">
        <f>ROUND(R93*(R12)/100,2)</f>
        <v>0</v>
      </c>
      <c r="GL93">
        <f t="shared" si="98"/>
        <v>0</v>
      </c>
      <c r="GM93">
        <f t="shared" si="99"/>
        <v>0</v>
      </c>
      <c r="GN93">
        <f t="shared" si="100"/>
        <v>0</v>
      </c>
      <c r="GO93">
        <f t="shared" si="101"/>
        <v>0</v>
      </c>
      <c r="GP93">
        <f t="shared" si="102"/>
        <v>0</v>
      </c>
      <c r="GR93">
        <v>0</v>
      </c>
      <c r="GS93">
        <v>3</v>
      </c>
      <c r="GT93">
        <v>0</v>
      </c>
      <c r="GU93" t="s">
        <v>6</v>
      </c>
      <c r="GV93">
        <f t="shared" si="103"/>
        <v>0</v>
      </c>
      <c r="GW93">
        <v>1</v>
      </c>
      <c r="GX93">
        <f t="shared" si="104"/>
        <v>0</v>
      </c>
      <c r="HA93">
        <v>0</v>
      </c>
      <c r="HB93">
        <v>0</v>
      </c>
      <c r="HC93">
        <f t="shared" si="105"/>
        <v>0</v>
      </c>
      <c r="IK93">
        <v>0</v>
      </c>
    </row>
    <row r="94" spans="1:245" x14ac:dyDescent="0.2">
      <c r="A94">
        <v>18</v>
      </c>
      <c r="B94">
        <v>1</v>
      </c>
      <c r="C94">
        <v>111</v>
      </c>
      <c r="E94" t="s">
        <v>239</v>
      </c>
      <c r="F94" t="s">
        <v>240</v>
      </c>
      <c r="G94" t="s">
        <v>241</v>
      </c>
      <c r="H94" t="s">
        <v>104</v>
      </c>
      <c r="I94">
        <f>I92*J94</f>
        <v>0.118073</v>
      </c>
      <c r="J94">
        <v>7.0999999999999994E-2</v>
      </c>
      <c r="O94">
        <f t="shared" si="71"/>
        <v>17813.919999999998</v>
      </c>
      <c r="P94">
        <f t="shared" si="72"/>
        <v>17813.919999999998</v>
      </c>
      <c r="Q94">
        <f t="shared" si="73"/>
        <v>0</v>
      </c>
      <c r="R94">
        <f t="shared" si="74"/>
        <v>0</v>
      </c>
      <c r="S94">
        <f t="shared" si="75"/>
        <v>0</v>
      </c>
      <c r="T94">
        <f t="shared" si="76"/>
        <v>0</v>
      </c>
      <c r="U94">
        <f t="shared" si="77"/>
        <v>0</v>
      </c>
      <c r="V94">
        <f t="shared" si="78"/>
        <v>0</v>
      </c>
      <c r="W94">
        <f t="shared" si="79"/>
        <v>0</v>
      </c>
      <c r="X94">
        <f t="shared" si="80"/>
        <v>0</v>
      </c>
      <c r="Y94">
        <f t="shared" si="81"/>
        <v>0</v>
      </c>
      <c r="AA94">
        <v>16808636</v>
      </c>
      <c r="AB94">
        <f t="shared" si="82"/>
        <v>22484.66</v>
      </c>
      <c r="AC94">
        <f t="shared" si="83"/>
        <v>22484.66</v>
      </c>
      <c r="AD94">
        <f t="shared" si="110"/>
        <v>0</v>
      </c>
      <c r="AE94">
        <f t="shared" si="111"/>
        <v>0</v>
      </c>
      <c r="AF94">
        <f t="shared" si="111"/>
        <v>0</v>
      </c>
      <c r="AG94">
        <f t="shared" si="84"/>
        <v>0</v>
      </c>
      <c r="AH94">
        <f t="shared" si="112"/>
        <v>0</v>
      </c>
      <c r="AI94">
        <f t="shared" si="112"/>
        <v>0</v>
      </c>
      <c r="AJ94">
        <f t="shared" si="85"/>
        <v>0</v>
      </c>
      <c r="AK94">
        <v>22484.66</v>
      </c>
      <c r="AL94">
        <v>22484.66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80</v>
      </c>
      <c r="AU94">
        <v>50</v>
      </c>
      <c r="AV94">
        <v>1</v>
      </c>
      <c r="AW94">
        <v>1</v>
      </c>
      <c r="AZ94">
        <v>6.71</v>
      </c>
      <c r="BA94">
        <v>1</v>
      </c>
      <c r="BB94">
        <v>1</v>
      </c>
      <c r="BC94">
        <v>6.71</v>
      </c>
      <c r="BD94" t="s">
        <v>6</v>
      </c>
      <c r="BE94" t="s">
        <v>6</v>
      </c>
      <c r="BF94" t="s">
        <v>6</v>
      </c>
      <c r="BG94" t="s">
        <v>6</v>
      </c>
      <c r="BH94">
        <v>3</v>
      </c>
      <c r="BI94">
        <v>1</v>
      </c>
      <c r="BJ94" t="s">
        <v>242</v>
      </c>
      <c r="BM94">
        <v>62001</v>
      </c>
      <c r="BN94">
        <v>0</v>
      </c>
      <c r="BO94" t="s">
        <v>6</v>
      </c>
      <c r="BP94">
        <v>0</v>
      </c>
      <c r="BQ94">
        <v>6</v>
      </c>
      <c r="BR94">
        <v>0</v>
      </c>
      <c r="BS94">
        <v>1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6</v>
      </c>
      <c r="BZ94">
        <v>80</v>
      </c>
      <c r="CA94">
        <v>50</v>
      </c>
      <c r="CE94">
        <v>0</v>
      </c>
      <c r="CF94">
        <v>0</v>
      </c>
      <c r="CG94">
        <v>0</v>
      </c>
      <c r="CM94">
        <v>0</v>
      </c>
      <c r="CN94" t="s">
        <v>6</v>
      </c>
      <c r="CO94">
        <v>0</v>
      </c>
      <c r="CP94">
        <f t="shared" si="86"/>
        <v>17813.919999999998</v>
      </c>
      <c r="CQ94">
        <f t="shared" si="87"/>
        <v>150872.0686</v>
      </c>
      <c r="CR94">
        <f t="shared" si="88"/>
        <v>0</v>
      </c>
      <c r="CS94">
        <f t="shared" si="89"/>
        <v>0</v>
      </c>
      <c r="CT94">
        <f t="shared" si="90"/>
        <v>0</v>
      </c>
      <c r="CU94">
        <f t="shared" si="91"/>
        <v>0</v>
      </c>
      <c r="CV94">
        <f t="shared" si="92"/>
        <v>0</v>
      </c>
      <c r="CW94">
        <f t="shared" si="93"/>
        <v>0</v>
      </c>
      <c r="CX94">
        <f t="shared" si="94"/>
        <v>0</v>
      </c>
      <c r="CY94">
        <f t="shared" si="95"/>
        <v>0</v>
      </c>
      <c r="CZ94">
        <f t="shared" si="96"/>
        <v>0</v>
      </c>
      <c r="DC94" t="s">
        <v>6</v>
      </c>
      <c r="DD94" t="s">
        <v>6</v>
      </c>
      <c r="DE94" t="s">
        <v>6</v>
      </c>
      <c r="DF94" t="s">
        <v>6</v>
      </c>
      <c r="DG94" t="s">
        <v>6</v>
      </c>
      <c r="DH94" t="s">
        <v>6</v>
      </c>
      <c r="DI94" t="s">
        <v>6</v>
      </c>
      <c r="DJ94" t="s">
        <v>6</v>
      </c>
      <c r="DK94" t="s">
        <v>6</v>
      </c>
      <c r="DL94" t="s">
        <v>6</v>
      </c>
      <c r="DM94" t="s">
        <v>6</v>
      </c>
      <c r="DN94">
        <v>0</v>
      </c>
      <c r="DO94">
        <v>0</v>
      </c>
      <c r="DP94">
        <v>1</v>
      </c>
      <c r="DQ94">
        <v>1</v>
      </c>
      <c r="DU94">
        <v>1009</v>
      </c>
      <c r="DV94" t="s">
        <v>104</v>
      </c>
      <c r="DW94" t="s">
        <v>104</v>
      </c>
      <c r="DX94">
        <v>1000</v>
      </c>
      <c r="EE94">
        <v>16510571</v>
      </c>
      <c r="EF94">
        <v>6</v>
      </c>
      <c r="EG94" t="s">
        <v>30</v>
      </c>
      <c r="EH94">
        <v>0</v>
      </c>
      <c r="EI94" t="s">
        <v>6</v>
      </c>
      <c r="EJ94">
        <v>1</v>
      </c>
      <c r="EK94">
        <v>62001</v>
      </c>
      <c r="EL94" t="s">
        <v>217</v>
      </c>
      <c r="EM94" t="s">
        <v>218</v>
      </c>
      <c r="EO94" t="s">
        <v>6</v>
      </c>
      <c r="EQ94">
        <v>0</v>
      </c>
      <c r="ER94">
        <v>22484.66</v>
      </c>
      <c r="ES94">
        <v>22484.66</v>
      </c>
      <c r="ET94">
        <v>0</v>
      </c>
      <c r="EU94">
        <v>0</v>
      </c>
      <c r="EV94">
        <v>0</v>
      </c>
      <c r="EW94">
        <v>0</v>
      </c>
      <c r="EX94">
        <v>0</v>
      </c>
      <c r="FQ94">
        <v>0</v>
      </c>
      <c r="FR94">
        <f t="shared" si="97"/>
        <v>0</v>
      </c>
      <c r="FS94">
        <v>0</v>
      </c>
      <c r="FX94">
        <v>80</v>
      </c>
      <c r="FY94">
        <v>50</v>
      </c>
      <c r="GA94" t="s">
        <v>6</v>
      </c>
      <c r="GD94">
        <v>0</v>
      </c>
      <c r="GF94">
        <v>960802034</v>
      </c>
      <c r="GG94">
        <v>1</v>
      </c>
      <c r="GH94">
        <v>1</v>
      </c>
      <c r="GI94">
        <v>4</v>
      </c>
      <c r="GJ94">
        <v>0</v>
      </c>
      <c r="GK94">
        <f>ROUND(R94*(R12)/100,2)</f>
        <v>0</v>
      </c>
      <c r="GL94">
        <f t="shared" si="98"/>
        <v>0</v>
      </c>
      <c r="GM94">
        <f t="shared" si="99"/>
        <v>17813.919999999998</v>
      </c>
      <c r="GN94">
        <f t="shared" si="100"/>
        <v>17813.919999999998</v>
      </c>
      <c r="GO94">
        <f t="shared" si="101"/>
        <v>0</v>
      </c>
      <c r="GP94">
        <f t="shared" si="102"/>
        <v>0</v>
      </c>
      <c r="GR94">
        <v>0</v>
      </c>
      <c r="GS94">
        <v>3</v>
      </c>
      <c r="GT94">
        <v>0</v>
      </c>
      <c r="GU94" t="s">
        <v>6</v>
      </c>
      <c r="GV94">
        <f t="shared" si="103"/>
        <v>0</v>
      </c>
      <c r="GW94">
        <v>1</v>
      </c>
      <c r="GX94">
        <f t="shared" si="104"/>
        <v>0</v>
      </c>
      <c r="HA94">
        <v>0</v>
      </c>
      <c r="HB94">
        <v>0</v>
      </c>
      <c r="HC94">
        <f t="shared" si="105"/>
        <v>0</v>
      </c>
      <c r="IK94">
        <v>0</v>
      </c>
    </row>
    <row r="95" spans="1:245" x14ac:dyDescent="0.2">
      <c r="A95">
        <v>17</v>
      </c>
      <c r="B95">
        <v>1</v>
      </c>
      <c r="C95">
        <f>ROW(SmtRes!A125)</f>
        <v>125</v>
      </c>
      <c r="D95">
        <f>ROW(EtalonRes!A127)</f>
        <v>127</v>
      </c>
      <c r="E95" t="s">
        <v>243</v>
      </c>
      <c r="F95" t="s">
        <v>244</v>
      </c>
      <c r="G95" t="s">
        <v>245</v>
      </c>
      <c r="H95" t="s">
        <v>18</v>
      </c>
      <c r="I95">
        <f>ROUND(468/100,9)</f>
        <v>4.68</v>
      </c>
      <c r="J95">
        <v>0</v>
      </c>
      <c r="O95">
        <f t="shared" si="71"/>
        <v>24999.77</v>
      </c>
      <c r="P95">
        <f t="shared" si="72"/>
        <v>15582.7</v>
      </c>
      <c r="Q95">
        <f t="shared" si="73"/>
        <v>222.02</v>
      </c>
      <c r="R95">
        <f t="shared" si="74"/>
        <v>64.38</v>
      </c>
      <c r="S95">
        <f t="shared" si="75"/>
        <v>9195.0499999999993</v>
      </c>
      <c r="T95">
        <f t="shared" si="76"/>
        <v>0</v>
      </c>
      <c r="U95">
        <f t="shared" si="77"/>
        <v>158.6052</v>
      </c>
      <c r="V95">
        <f t="shared" si="78"/>
        <v>0.74880000000000002</v>
      </c>
      <c r="W95">
        <f t="shared" si="79"/>
        <v>0</v>
      </c>
      <c r="X95">
        <f t="shared" si="80"/>
        <v>7407.54</v>
      </c>
      <c r="Y95">
        <f t="shared" si="81"/>
        <v>4629.72</v>
      </c>
      <c r="AA95">
        <v>16808636</v>
      </c>
      <c r="AB95">
        <f t="shared" si="82"/>
        <v>796.1</v>
      </c>
      <c r="AC95">
        <f t="shared" si="83"/>
        <v>496.22</v>
      </c>
      <c r="AD95">
        <f t="shared" si="110"/>
        <v>7.07</v>
      </c>
      <c r="AE95">
        <f t="shared" si="111"/>
        <v>2.0499999999999998</v>
      </c>
      <c r="AF95">
        <f t="shared" si="111"/>
        <v>292.81</v>
      </c>
      <c r="AG95">
        <f t="shared" si="84"/>
        <v>0</v>
      </c>
      <c r="AH95">
        <f t="shared" si="112"/>
        <v>33.89</v>
      </c>
      <c r="AI95">
        <f t="shared" si="112"/>
        <v>0.16</v>
      </c>
      <c r="AJ95">
        <f t="shared" si="85"/>
        <v>0</v>
      </c>
      <c r="AK95">
        <v>796.1</v>
      </c>
      <c r="AL95">
        <v>496.22</v>
      </c>
      <c r="AM95">
        <v>7.07</v>
      </c>
      <c r="AN95">
        <v>2.0499999999999998</v>
      </c>
      <c r="AO95">
        <v>292.81</v>
      </c>
      <c r="AP95">
        <v>0</v>
      </c>
      <c r="AQ95">
        <v>33.89</v>
      </c>
      <c r="AR95">
        <v>0.16</v>
      </c>
      <c r="AS95">
        <v>0</v>
      </c>
      <c r="AT95">
        <v>80</v>
      </c>
      <c r="AU95">
        <v>50</v>
      </c>
      <c r="AV95">
        <v>1</v>
      </c>
      <c r="AW95">
        <v>1</v>
      </c>
      <c r="AZ95">
        <v>6.71</v>
      </c>
      <c r="BA95">
        <v>6.71</v>
      </c>
      <c r="BB95">
        <v>6.71</v>
      </c>
      <c r="BC95">
        <v>6.71</v>
      </c>
      <c r="BD95" t="s">
        <v>6</v>
      </c>
      <c r="BE95" t="s">
        <v>6</v>
      </c>
      <c r="BF95" t="s">
        <v>6</v>
      </c>
      <c r="BG95" t="s">
        <v>6</v>
      </c>
      <c r="BH95">
        <v>0</v>
      </c>
      <c r="BI95">
        <v>1</v>
      </c>
      <c r="BJ95" t="s">
        <v>246</v>
      </c>
      <c r="BM95">
        <v>62001</v>
      </c>
      <c r="BN95">
        <v>0</v>
      </c>
      <c r="BO95" t="s">
        <v>6</v>
      </c>
      <c r="BP95">
        <v>0</v>
      </c>
      <c r="BQ95">
        <v>6</v>
      </c>
      <c r="BR95">
        <v>0</v>
      </c>
      <c r="BS95">
        <v>6.71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80</v>
      </c>
      <c r="CA95">
        <v>50</v>
      </c>
      <c r="CE95">
        <v>0</v>
      </c>
      <c r="CF95">
        <v>0</v>
      </c>
      <c r="CG95">
        <v>0</v>
      </c>
      <c r="CM95">
        <v>0</v>
      </c>
      <c r="CN95" t="s">
        <v>6</v>
      </c>
      <c r="CO95">
        <v>0</v>
      </c>
      <c r="CP95">
        <f t="shared" si="86"/>
        <v>24999.77</v>
      </c>
      <c r="CQ95">
        <f t="shared" si="87"/>
        <v>3329.6362000000004</v>
      </c>
      <c r="CR95">
        <f t="shared" si="88"/>
        <v>47.439700000000002</v>
      </c>
      <c r="CS95">
        <f t="shared" si="89"/>
        <v>13.7555</v>
      </c>
      <c r="CT95">
        <f t="shared" si="90"/>
        <v>1964.7551000000001</v>
      </c>
      <c r="CU95">
        <f t="shared" si="91"/>
        <v>0</v>
      </c>
      <c r="CV95">
        <f t="shared" si="92"/>
        <v>33.89</v>
      </c>
      <c r="CW95">
        <f t="shared" si="93"/>
        <v>0.16</v>
      </c>
      <c r="CX95">
        <f t="shared" si="94"/>
        <v>0</v>
      </c>
      <c r="CY95">
        <f t="shared" si="95"/>
        <v>7407.543999999999</v>
      </c>
      <c r="CZ95">
        <f t="shared" si="96"/>
        <v>4629.7149999999992</v>
      </c>
      <c r="DC95" t="s">
        <v>6</v>
      </c>
      <c r="DD95" t="s">
        <v>6</v>
      </c>
      <c r="DE95" t="s">
        <v>6</v>
      </c>
      <c r="DF95" t="s">
        <v>6</v>
      </c>
      <c r="DG95" t="s">
        <v>6</v>
      </c>
      <c r="DH95" t="s">
        <v>6</v>
      </c>
      <c r="DI95" t="s">
        <v>6</v>
      </c>
      <c r="DJ95" t="s">
        <v>6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1005</v>
      </c>
      <c r="DV95" t="s">
        <v>18</v>
      </c>
      <c r="DW95" t="s">
        <v>18</v>
      </c>
      <c r="DX95">
        <v>100</v>
      </c>
      <c r="EE95">
        <v>16510571</v>
      </c>
      <c r="EF95">
        <v>6</v>
      </c>
      <c r="EG95" t="s">
        <v>30</v>
      </c>
      <c r="EH95">
        <v>0</v>
      </c>
      <c r="EI95" t="s">
        <v>6</v>
      </c>
      <c r="EJ95">
        <v>1</v>
      </c>
      <c r="EK95">
        <v>62001</v>
      </c>
      <c r="EL95" t="s">
        <v>217</v>
      </c>
      <c r="EM95" t="s">
        <v>218</v>
      </c>
      <c r="EO95" t="s">
        <v>6</v>
      </c>
      <c r="EQ95">
        <v>0</v>
      </c>
      <c r="ER95">
        <v>796.1</v>
      </c>
      <c r="ES95">
        <v>496.22</v>
      </c>
      <c r="ET95">
        <v>7.07</v>
      </c>
      <c r="EU95">
        <v>2.0499999999999998</v>
      </c>
      <c r="EV95">
        <v>292.81</v>
      </c>
      <c r="EW95">
        <v>33.89</v>
      </c>
      <c r="EX95">
        <v>0.16</v>
      </c>
      <c r="EY95">
        <v>0</v>
      </c>
      <c r="FQ95">
        <v>0</v>
      </c>
      <c r="FR95">
        <f t="shared" si="97"/>
        <v>0</v>
      </c>
      <c r="FS95">
        <v>0</v>
      </c>
      <c r="FX95">
        <v>80</v>
      </c>
      <c r="FY95">
        <v>50</v>
      </c>
      <c r="GA95" t="s">
        <v>6</v>
      </c>
      <c r="GD95">
        <v>0</v>
      </c>
      <c r="GF95">
        <v>1256979024</v>
      </c>
      <c r="GG95">
        <v>1</v>
      </c>
      <c r="GH95">
        <v>1</v>
      </c>
      <c r="GI95">
        <v>4</v>
      </c>
      <c r="GJ95">
        <v>0</v>
      </c>
      <c r="GK95">
        <f>ROUND(R95*(R12)/100,2)</f>
        <v>0</v>
      </c>
      <c r="GL95">
        <f t="shared" si="98"/>
        <v>0</v>
      </c>
      <c r="GM95">
        <f t="shared" si="99"/>
        <v>37037.03</v>
      </c>
      <c r="GN95">
        <f t="shared" si="100"/>
        <v>37037.03</v>
      </c>
      <c r="GO95">
        <f t="shared" si="101"/>
        <v>0</v>
      </c>
      <c r="GP95">
        <f t="shared" si="102"/>
        <v>0</v>
      </c>
      <c r="GR95">
        <v>0</v>
      </c>
      <c r="GS95">
        <v>3</v>
      </c>
      <c r="GT95">
        <v>0</v>
      </c>
      <c r="GU95" t="s">
        <v>6</v>
      </c>
      <c r="GV95">
        <f t="shared" si="103"/>
        <v>0</v>
      </c>
      <c r="GW95">
        <v>1</v>
      </c>
      <c r="GX95">
        <f t="shared" si="104"/>
        <v>0</v>
      </c>
      <c r="HA95">
        <v>0</v>
      </c>
      <c r="HB95">
        <v>0</v>
      </c>
      <c r="HC95">
        <f t="shared" si="105"/>
        <v>0</v>
      </c>
      <c r="IK95">
        <v>0</v>
      </c>
    </row>
    <row r="96" spans="1:245" x14ac:dyDescent="0.2">
      <c r="A96">
        <v>18</v>
      </c>
      <c r="B96">
        <v>1</v>
      </c>
      <c r="C96">
        <v>124</v>
      </c>
      <c r="E96" t="s">
        <v>247</v>
      </c>
      <c r="F96" t="s">
        <v>240</v>
      </c>
      <c r="G96" t="s">
        <v>241</v>
      </c>
      <c r="H96" t="s">
        <v>104</v>
      </c>
      <c r="I96">
        <f>I95*J96</f>
        <v>0.33228000000000002</v>
      </c>
      <c r="J96">
        <v>7.1000000000000008E-2</v>
      </c>
      <c r="O96">
        <f t="shared" si="71"/>
        <v>50131.77</v>
      </c>
      <c r="P96">
        <f t="shared" si="72"/>
        <v>50131.77</v>
      </c>
      <c r="Q96">
        <f t="shared" si="73"/>
        <v>0</v>
      </c>
      <c r="R96">
        <f t="shared" si="74"/>
        <v>0</v>
      </c>
      <c r="S96">
        <f t="shared" si="75"/>
        <v>0</v>
      </c>
      <c r="T96">
        <f t="shared" si="76"/>
        <v>0</v>
      </c>
      <c r="U96">
        <f t="shared" si="77"/>
        <v>0</v>
      </c>
      <c r="V96">
        <f t="shared" si="78"/>
        <v>0</v>
      </c>
      <c r="W96">
        <f t="shared" si="79"/>
        <v>0</v>
      </c>
      <c r="X96">
        <f t="shared" si="80"/>
        <v>0</v>
      </c>
      <c r="Y96">
        <f t="shared" si="81"/>
        <v>0</v>
      </c>
      <c r="AA96">
        <v>16808636</v>
      </c>
      <c r="AB96">
        <f t="shared" si="82"/>
        <v>22484.66</v>
      </c>
      <c r="AC96">
        <f t="shared" si="83"/>
        <v>22484.66</v>
      </c>
      <c r="AD96">
        <f t="shared" si="110"/>
        <v>0</v>
      </c>
      <c r="AE96">
        <f t="shared" si="111"/>
        <v>0</v>
      </c>
      <c r="AF96">
        <f t="shared" si="111"/>
        <v>0</v>
      </c>
      <c r="AG96">
        <f t="shared" si="84"/>
        <v>0</v>
      </c>
      <c r="AH96">
        <f t="shared" si="112"/>
        <v>0</v>
      </c>
      <c r="AI96">
        <f t="shared" si="112"/>
        <v>0</v>
      </c>
      <c r="AJ96">
        <f t="shared" si="85"/>
        <v>0</v>
      </c>
      <c r="AK96">
        <v>22484.66</v>
      </c>
      <c r="AL96">
        <v>22484.66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80</v>
      </c>
      <c r="AU96">
        <v>50</v>
      </c>
      <c r="AV96">
        <v>1</v>
      </c>
      <c r="AW96">
        <v>1</v>
      </c>
      <c r="AZ96">
        <v>6.71</v>
      </c>
      <c r="BA96">
        <v>1</v>
      </c>
      <c r="BB96">
        <v>1</v>
      </c>
      <c r="BC96">
        <v>6.71</v>
      </c>
      <c r="BD96" t="s">
        <v>6</v>
      </c>
      <c r="BE96" t="s">
        <v>6</v>
      </c>
      <c r="BF96" t="s">
        <v>6</v>
      </c>
      <c r="BG96" t="s">
        <v>6</v>
      </c>
      <c r="BH96">
        <v>3</v>
      </c>
      <c r="BI96">
        <v>1</v>
      </c>
      <c r="BJ96" t="s">
        <v>242</v>
      </c>
      <c r="BM96">
        <v>62001</v>
      </c>
      <c r="BN96">
        <v>0</v>
      </c>
      <c r="BO96" t="s">
        <v>6</v>
      </c>
      <c r="BP96">
        <v>0</v>
      </c>
      <c r="BQ96">
        <v>6</v>
      </c>
      <c r="BR96">
        <v>0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6</v>
      </c>
      <c r="BZ96">
        <v>80</v>
      </c>
      <c r="CA96">
        <v>50</v>
      </c>
      <c r="CE96">
        <v>0</v>
      </c>
      <c r="CF96">
        <v>0</v>
      </c>
      <c r="CG96">
        <v>0</v>
      </c>
      <c r="CM96">
        <v>0</v>
      </c>
      <c r="CN96" t="s">
        <v>6</v>
      </c>
      <c r="CO96">
        <v>0</v>
      </c>
      <c r="CP96">
        <f t="shared" si="86"/>
        <v>50131.77</v>
      </c>
      <c r="CQ96">
        <f t="shared" si="87"/>
        <v>150872.0686</v>
      </c>
      <c r="CR96">
        <f t="shared" si="88"/>
        <v>0</v>
      </c>
      <c r="CS96">
        <f t="shared" si="89"/>
        <v>0</v>
      </c>
      <c r="CT96">
        <f t="shared" si="90"/>
        <v>0</v>
      </c>
      <c r="CU96">
        <f t="shared" si="91"/>
        <v>0</v>
      </c>
      <c r="CV96">
        <f t="shared" si="92"/>
        <v>0</v>
      </c>
      <c r="CW96">
        <f t="shared" si="93"/>
        <v>0</v>
      </c>
      <c r="CX96">
        <f t="shared" si="94"/>
        <v>0</v>
      </c>
      <c r="CY96">
        <f t="shared" si="95"/>
        <v>0</v>
      </c>
      <c r="CZ96">
        <f t="shared" si="96"/>
        <v>0</v>
      </c>
      <c r="DC96" t="s">
        <v>6</v>
      </c>
      <c r="DD96" t="s">
        <v>6</v>
      </c>
      <c r="DE96" t="s">
        <v>6</v>
      </c>
      <c r="DF96" t="s">
        <v>6</v>
      </c>
      <c r="DG96" t="s">
        <v>6</v>
      </c>
      <c r="DH96" t="s">
        <v>6</v>
      </c>
      <c r="DI96" t="s">
        <v>6</v>
      </c>
      <c r="DJ96" t="s">
        <v>6</v>
      </c>
      <c r="DK96" t="s">
        <v>6</v>
      </c>
      <c r="DL96" t="s">
        <v>6</v>
      </c>
      <c r="DM96" t="s">
        <v>6</v>
      </c>
      <c r="DN96">
        <v>0</v>
      </c>
      <c r="DO96">
        <v>0</v>
      </c>
      <c r="DP96">
        <v>1</v>
      </c>
      <c r="DQ96">
        <v>1</v>
      </c>
      <c r="DU96">
        <v>1009</v>
      </c>
      <c r="DV96" t="s">
        <v>104</v>
      </c>
      <c r="DW96" t="s">
        <v>104</v>
      </c>
      <c r="DX96">
        <v>1000</v>
      </c>
      <c r="EE96">
        <v>16510571</v>
      </c>
      <c r="EF96">
        <v>6</v>
      </c>
      <c r="EG96" t="s">
        <v>30</v>
      </c>
      <c r="EH96">
        <v>0</v>
      </c>
      <c r="EI96" t="s">
        <v>6</v>
      </c>
      <c r="EJ96">
        <v>1</v>
      </c>
      <c r="EK96">
        <v>62001</v>
      </c>
      <c r="EL96" t="s">
        <v>217</v>
      </c>
      <c r="EM96" t="s">
        <v>218</v>
      </c>
      <c r="EO96" t="s">
        <v>6</v>
      </c>
      <c r="EQ96">
        <v>0</v>
      </c>
      <c r="ER96">
        <v>22484.66</v>
      </c>
      <c r="ES96">
        <v>22484.66</v>
      </c>
      <c r="ET96">
        <v>0</v>
      </c>
      <c r="EU96">
        <v>0</v>
      </c>
      <c r="EV96">
        <v>0</v>
      </c>
      <c r="EW96">
        <v>0</v>
      </c>
      <c r="EX96">
        <v>0</v>
      </c>
      <c r="FQ96">
        <v>0</v>
      </c>
      <c r="FR96">
        <f t="shared" si="97"/>
        <v>0</v>
      </c>
      <c r="FS96">
        <v>0</v>
      </c>
      <c r="FX96">
        <v>80</v>
      </c>
      <c r="FY96">
        <v>50</v>
      </c>
      <c r="GA96" t="s">
        <v>6</v>
      </c>
      <c r="GD96">
        <v>0</v>
      </c>
      <c r="GF96">
        <v>960802034</v>
      </c>
      <c r="GG96">
        <v>1</v>
      </c>
      <c r="GH96">
        <v>1</v>
      </c>
      <c r="GI96">
        <v>4</v>
      </c>
      <c r="GJ96">
        <v>0</v>
      </c>
      <c r="GK96">
        <f>ROUND(R96*(R12)/100,2)</f>
        <v>0</v>
      </c>
      <c r="GL96">
        <f t="shared" si="98"/>
        <v>0</v>
      </c>
      <c r="GM96">
        <f t="shared" si="99"/>
        <v>50131.77</v>
      </c>
      <c r="GN96">
        <f t="shared" si="100"/>
        <v>50131.77</v>
      </c>
      <c r="GO96">
        <f t="shared" si="101"/>
        <v>0</v>
      </c>
      <c r="GP96">
        <f t="shared" si="102"/>
        <v>0</v>
      </c>
      <c r="GR96">
        <v>0</v>
      </c>
      <c r="GS96">
        <v>3</v>
      </c>
      <c r="GT96">
        <v>0</v>
      </c>
      <c r="GU96" t="s">
        <v>6</v>
      </c>
      <c r="GV96">
        <f t="shared" si="103"/>
        <v>0</v>
      </c>
      <c r="GW96">
        <v>1</v>
      </c>
      <c r="GX96">
        <f t="shared" si="104"/>
        <v>0</v>
      </c>
      <c r="HA96">
        <v>0</v>
      </c>
      <c r="HB96">
        <v>0</v>
      </c>
      <c r="HC96">
        <f t="shared" si="105"/>
        <v>0</v>
      </c>
      <c r="IK96">
        <v>0</v>
      </c>
    </row>
    <row r="97" spans="1:245" x14ac:dyDescent="0.2">
      <c r="A97">
        <v>18</v>
      </c>
      <c r="B97">
        <v>1</v>
      </c>
      <c r="C97">
        <v>123</v>
      </c>
      <c r="E97" t="s">
        <v>248</v>
      </c>
      <c r="F97" t="s">
        <v>237</v>
      </c>
      <c r="G97" t="s">
        <v>238</v>
      </c>
      <c r="H97" t="s">
        <v>104</v>
      </c>
      <c r="I97">
        <f>I95*J97</f>
        <v>0.33228000000000002</v>
      </c>
      <c r="J97">
        <v>7.1000000000000008E-2</v>
      </c>
      <c r="O97">
        <f t="shared" si="71"/>
        <v>0</v>
      </c>
      <c r="P97">
        <f t="shared" si="72"/>
        <v>0</v>
      </c>
      <c r="Q97">
        <f t="shared" si="73"/>
        <v>0</v>
      </c>
      <c r="R97">
        <f t="shared" si="74"/>
        <v>0</v>
      </c>
      <c r="S97">
        <f t="shared" si="75"/>
        <v>0</v>
      </c>
      <c r="T97">
        <f t="shared" si="76"/>
        <v>0</v>
      </c>
      <c r="U97">
        <f t="shared" si="77"/>
        <v>0</v>
      </c>
      <c r="V97">
        <f t="shared" si="78"/>
        <v>0</v>
      </c>
      <c r="W97">
        <f t="shared" si="79"/>
        <v>0</v>
      </c>
      <c r="X97">
        <f t="shared" si="80"/>
        <v>0</v>
      </c>
      <c r="Y97">
        <f t="shared" si="81"/>
        <v>0</v>
      </c>
      <c r="AA97">
        <v>16808636</v>
      </c>
      <c r="AB97">
        <f t="shared" si="82"/>
        <v>0</v>
      </c>
      <c r="AC97">
        <f t="shared" si="83"/>
        <v>0</v>
      </c>
      <c r="AD97">
        <f t="shared" si="110"/>
        <v>0</v>
      </c>
      <c r="AE97">
        <f t="shared" si="111"/>
        <v>0</v>
      </c>
      <c r="AF97">
        <f t="shared" si="111"/>
        <v>0</v>
      </c>
      <c r="AG97">
        <f t="shared" si="84"/>
        <v>0</v>
      </c>
      <c r="AH97">
        <f t="shared" si="112"/>
        <v>0</v>
      </c>
      <c r="AI97">
        <f t="shared" si="112"/>
        <v>0</v>
      </c>
      <c r="AJ97">
        <f t="shared" si="85"/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80</v>
      </c>
      <c r="AU97">
        <v>50</v>
      </c>
      <c r="AV97">
        <v>1</v>
      </c>
      <c r="AW97">
        <v>1</v>
      </c>
      <c r="AZ97">
        <v>6.71</v>
      </c>
      <c r="BA97">
        <v>1</v>
      </c>
      <c r="BB97">
        <v>1</v>
      </c>
      <c r="BC97">
        <v>6.71</v>
      </c>
      <c r="BD97" t="s">
        <v>6</v>
      </c>
      <c r="BE97" t="s">
        <v>6</v>
      </c>
      <c r="BF97" t="s">
        <v>6</v>
      </c>
      <c r="BG97" t="s">
        <v>6</v>
      </c>
      <c r="BH97">
        <v>3</v>
      </c>
      <c r="BI97">
        <v>1</v>
      </c>
      <c r="BJ97" t="s">
        <v>6</v>
      </c>
      <c r="BM97">
        <v>62001</v>
      </c>
      <c r="BN97">
        <v>0</v>
      </c>
      <c r="BO97" t="s">
        <v>6</v>
      </c>
      <c r="BP97">
        <v>0</v>
      </c>
      <c r="BQ97">
        <v>6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80</v>
      </c>
      <c r="CA97">
        <v>50</v>
      </c>
      <c r="CE97">
        <v>0</v>
      </c>
      <c r="CF97">
        <v>0</v>
      </c>
      <c r="CG97">
        <v>0</v>
      </c>
      <c r="CM97">
        <v>0</v>
      </c>
      <c r="CN97" t="s">
        <v>6</v>
      </c>
      <c r="CO97">
        <v>0</v>
      </c>
      <c r="CP97">
        <f t="shared" si="86"/>
        <v>0</v>
      </c>
      <c r="CQ97">
        <f t="shared" si="87"/>
        <v>0</v>
      </c>
      <c r="CR97">
        <f t="shared" si="88"/>
        <v>0</v>
      </c>
      <c r="CS97">
        <f t="shared" si="89"/>
        <v>0</v>
      </c>
      <c r="CT97">
        <f t="shared" si="90"/>
        <v>0</v>
      </c>
      <c r="CU97">
        <f t="shared" si="91"/>
        <v>0</v>
      </c>
      <c r="CV97">
        <f t="shared" si="92"/>
        <v>0</v>
      </c>
      <c r="CW97">
        <f t="shared" si="93"/>
        <v>0</v>
      </c>
      <c r="CX97">
        <f t="shared" si="94"/>
        <v>0</v>
      </c>
      <c r="CY97">
        <f t="shared" si="95"/>
        <v>0</v>
      </c>
      <c r="CZ97">
        <f t="shared" si="96"/>
        <v>0</v>
      </c>
      <c r="DC97" t="s">
        <v>6</v>
      </c>
      <c r="DD97" t="s">
        <v>6</v>
      </c>
      <c r="DE97" t="s">
        <v>6</v>
      </c>
      <c r="DF97" t="s">
        <v>6</v>
      </c>
      <c r="DG97" t="s">
        <v>6</v>
      </c>
      <c r="DH97" t="s">
        <v>6</v>
      </c>
      <c r="DI97" t="s">
        <v>6</v>
      </c>
      <c r="DJ97" t="s">
        <v>6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1009</v>
      </c>
      <c r="DV97" t="s">
        <v>104</v>
      </c>
      <c r="DW97" t="s">
        <v>104</v>
      </c>
      <c r="DX97">
        <v>1000</v>
      </c>
      <c r="EE97">
        <v>16510571</v>
      </c>
      <c r="EF97">
        <v>6</v>
      </c>
      <c r="EG97" t="s">
        <v>30</v>
      </c>
      <c r="EH97">
        <v>0</v>
      </c>
      <c r="EI97" t="s">
        <v>6</v>
      </c>
      <c r="EJ97">
        <v>1</v>
      </c>
      <c r="EK97">
        <v>62001</v>
      </c>
      <c r="EL97" t="s">
        <v>217</v>
      </c>
      <c r="EM97" t="s">
        <v>218</v>
      </c>
      <c r="EO97" t="s">
        <v>6</v>
      </c>
      <c r="EQ97">
        <v>0</v>
      </c>
      <c r="ER97">
        <v>0</v>
      </c>
      <c r="ES97">
        <v>0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97"/>
        <v>0</v>
      </c>
      <c r="FS97">
        <v>0</v>
      </c>
      <c r="FX97">
        <v>80</v>
      </c>
      <c r="FY97">
        <v>50</v>
      </c>
      <c r="GA97" t="s">
        <v>6</v>
      </c>
      <c r="GD97">
        <v>0</v>
      </c>
      <c r="GF97">
        <v>1891904026</v>
      </c>
      <c r="GG97">
        <v>1</v>
      </c>
      <c r="GH97">
        <v>1</v>
      </c>
      <c r="GI97">
        <v>4</v>
      </c>
      <c r="GJ97">
        <v>0</v>
      </c>
      <c r="GK97">
        <f>ROUND(R97*(R12)/100,2)</f>
        <v>0</v>
      </c>
      <c r="GL97">
        <f t="shared" si="98"/>
        <v>0</v>
      </c>
      <c r="GM97">
        <f t="shared" si="99"/>
        <v>0</v>
      </c>
      <c r="GN97">
        <f t="shared" si="100"/>
        <v>0</v>
      </c>
      <c r="GO97">
        <f t="shared" si="101"/>
        <v>0</v>
      </c>
      <c r="GP97">
        <f t="shared" si="102"/>
        <v>0</v>
      </c>
      <c r="GR97">
        <v>0</v>
      </c>
      <c r="GS97">
        <v>3</v>
      </c>
      <c r="GT97">
        <v>0</v>
      </c>
      <c r="GU97" t="s">
        <v>6</v>
      </c>
      <c r="GV97">
        <f t="shared" si="103"/>
        <v>0</v>
      </c>
      <c r="GW97">
        <v>1</v>
      </c>
      <c r="GX97">
        <f t="shared" si="104"/>
        <v>0</v>
      </c>
      <c r="HA97">
        <v>0</v>
      </c>
      <c r="HB97">
        <v>0</v>
      </c>
      <c r="HC97">
        <f t="shared" si="105"/>
        <v>0</v>
      </c>
      <c r="IK97">
        <v>0</v>
      </c>
    </row>
    <row r="98" spans="1:245" x14ac:dyDescent="0.2">
      <c r="A98">
        <v>17</v>
      </c>
      <c r="B98">
        <v>1</v>
      </c>
      <c r="C98">
        <f>ROW(SmtRes!A132)</f>
        <v>132</v>
      </c>
      <c r="D98">
        <f>ROW(EtalonRes!A133)</f>
        <v>133</v>
      </c>
      <c r="E98" t="s">
        <v>249</v>
      </c>
      <c r="F98" t="s">
        <v>78</v>
      </c>
      <c r="G98" t="s">
        <v>250</v>
      </c>
      <c r="H98" t="s">
        <v>18</v>
      </c>
      <c r="I98">
        <f>ROUND(166.3/100,9)</f>
        <v>1.663</v>
      </c>
      <c r="J98">
        <v>0</v>
      </c>
      <c r="O98">
        <f t="shared" si="71"/>
        <v>5666.74</v>
      </c>
      <c r="P98">
        <f t="shared" si="72"/>
        <v>95.3</v>
      </c>
      <c r="Q98">
        <f t="shared" si="73"/>
        <v>740.6</v>
      </c>
      <c r="R98">
        <f t="shared" si="74"/>
        <v>287.11</v>
      </c>
      <c r="S98">
        <f t="shared" si="75"/>
        <v>4830.84</v>
      </c>
      <c r="T98">
        <f t="shared" si="76"/>
        <v>0</v>
      </c>
      <c r="U98">
        <f t="shared" si="77"/>
        <v>90.673079399999992</v>
      </c>
      <c r="V98">
        <f t="shared" si="78"/>
        <v>3.1680149999999996</v>
      </c>
      <c r="W98">
        <f t="shared" si="79"/>
        <v>0</v>
      </c>
      <c r="X98">
        <f t="shared" si="80"/>
        <v>5680.92</v>
      </c>
      <c r="Y98">
        <f t="shared" si="81"/>
        <v>3275.49</v>
      </c>
      <c r="AA98">
        <v>16808636</v>
      </c>
      <c r="AB98">
        <f t="shared" si="82"/>
        <v>507.83</v>
      </c>
      <c r="AC98">
        <f t="shared" si="83"/>
        <v>8.5399999999999991</v>
      </c>
      <c r="AD98">
        <f>ROUND((((((ET98*1.25)*1.2))-(((EU98*1.25)*1.2)))+AE98),2)</f>
        <v>66.37</v>
      </c>
      <c r="AE98">
        <f>ROUND((((EU98*1.25)*1.2)),2)</f>
        <v>25.73</v>
      </c>
      <c r="AF98">
        <f>ROUND((((EV98*1.15)*1.2)),2)</f>
        <v>432.92</v>
      </c>
      <c r="AG98">
        <f t="shared" si="84"/>
        <v>0</v>
      </c>
      <c r="AH98">
        <f>(((EW98*1.15)*1.2))</f>
        <v>54.523799999999994</v>
      </c>
      <c r="AI98">
        <f>(((EX98*1.25)*1.2))</f>
        <v>1.9049999999999998</v>
      </c>
      <c r="AJ98">
        <f t="shared" si="85"/>
        <v>0</v>
      </c>
      <c r="AK98">
        <v>366.49</v>
      </c>
      <c r="AL98">
        <v>8.5399999999999991</v>
      </c>
      <c r="AM98">
        <v>44.24</v>
      </c>
      <c r="AN98">
        <v>17.149999999999999</v>
      </c>
      <c r="AO98">
        <v>313.70999999999998</v>
      </c>
      <c r="AP98">
        <v>0</v>
      </c>
      <c r="AQ98">
        <v>39.51</v>
      </c>
      <c r="AR98">
        <v>1.27</v>
      </c>
      <c r="AS98">
        <v>0</v>
      </c>
      <c r="AT98">
        <v>111</v>
      </c>
      <c r="AU98">
        <v>64</v>
      </c>
      <c r="AV98">
        <v>1</v>
      </c>
      <c r="AW98">
        <v>1</v>
      </c>
      <c r="AZ98">
        <v>6.71</v>
      </c>
      <c r="BA98">
        <v>6.71</v>
      </c>
      <c r="BB98">
        <v>6.71</v>
      </c>
      <c r="BC98">
        <v>6.71</v>
      </c>
      <c r="BD98" t="s">
        <v>6</v>
      </c>
      <c r="BE98" t="s">
        <v>6</v>
      </c>
      <c r="BF98" t="s">
        <v>6</v>
      </c>
      <c r="BG98" t="s">
        <v>6</v>
      </c>
      <c r="BH98">
        <v>0</v>
      </c>
      <c r="BI98">
        <v>1</v>
      </c>
      <c r="BJ98" t="s">
        <v>80</v>
      </c>
      <c r="BM98">
        <v>11001</v>
      </c>
      <c r="BN98">
        <v>0</v>
      </c>
      <c r="BO98" t="s">
        <v>6</v>
      </c>
      <c r="BP98">
        <v>0</v>
      </c>
      <c r="BQ98">
        <v>2</v>
      </c>
      <c r="BR98">
        <v>0</v>
      </c>
      <c r="BS98">
        <v>6.71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6</v>
      </c>
      <c r="BZ98">
        <v>123</v>
      </c>
      <c r="CA98">
        <v>75</v>
      </c>
      <c r="CE98">
        <v>0</v>
      </c>
      <c r="CF98">
        <v>0</v>
      </c>
      <c r="CG98">
        <v>0</v>
      </c>
      <c r="CM98">
        <v>0</v>
      </c>
      <c r="CN98" t="s">
        <v>1057</v>
      </c>
      <c r="CO98">
        <v>0</v>
      </c>
      <c r="CP98">
        <f t="shared" si="86"/>
        <v>5666.74</v>
      </c>
      <c r="CQ98">
        <f t="shared" si="87"/>
        <v>57.303399999999996</v>
      </c>
      <c r="CR98">
        <f t="shared" si="88"/>
        <v>445.34270000000004</v>
      </c>
      <c r="CS98">
        <f t="shared" si="89"/>
        <v>172.64830000000001</v>
      </c>
      <c r="CT98">
        <f t="shared" si="90"/>
        <v>2904.8932</v>
      </c>
      <c r="CU98">
        <f t="shared" si="91"/>
        <v>0</v>
      </c>
      <c r="CV98">
        <f t="shared" si="92"/>
        <v>54.523799999999994</v>
      </c>
      <c r="CW98">
        <f t="shared" si="93"/>
        <v>1.9049999999999998</v>
      </c>
      <c r="CX98">
        <f t="shared" si="94"/>
        <v>0</v>
      </c>
      <c r="CY98">
        <f t="shared" si="95"/>
        <v>5680.9244999999992</v>
      </c>
      <c r="CZ98">
        <f t="shared" si="96"/>
        <v>3275.4879999999998</v>
      </c>
      <c r="DC98" t="s">
        <v>6</v>
      </c>
      <c r="DD98" t="s">
        <v>6</v>
      </c>
      <c r="DE98" t="s">
        <v>174</v>
      </c>
      <c r="DF98" t="s">
        <v>174</v>
      </c>
      <c r="DG98" t="s">
        <v>175</v>
      </c>
      <c r="DH98" t="s">
        <v>6</v>
      </c>
      <c r="DI98" t="s">
        <v>175</v>
      </c>
      <c r="DJ98" t="s">
        <v>174</v>
      </c>
      <c r="DK98" t="s">
        <v>6</v>
      </c>
      <c r="DL98" t="s">
        <v>6</v>
      </c>
      <c r="DM98" t="s">
        <v>6</v>
      </c>
      <c r="DN98">
        <v>0</v>
      </c>
      <c r="DO98">
        <v>0</v>
      </c>
      <c r="DP98">
        <v>1</v>
      </c>
      <c r="DQ98">
        <v>1</v>
      </c>
      <c r="DU98">
        <v>1005</v>
      </c>
      <c r="DV98" t="s">
        <v>18</v>
      </c>
      <c r="DW98" t="s">
        <v>18</v>
      </c>
      <c r="DX98">
        <v>100</v>
      </c>
      <c r="EE98">
        <v>16510488</v>
      </c>
      <c r="EF98">
        <v>2</v>
      </c>
      <c r="EG98" t="s">
        <v>20</v>
      </c>
      <c r="EH98">
        <v>0</v>
      </c>
      <c r="EI98" t="s">
        <v>6</v>
      </c>
      <c r="EJ98">
        <v>1</v>
      </c>
      <c r="EK98">
        <v>11001</v>
      </c>
      <c r="EL98" t="s">
        <v>75</v>
      </c>
      <c r="EM98" t="s">
        <v>83</v>
      </c>
      <c r="EO98" t="s">
        <v>178</v>
      </c>
      <c r="EQ98">
        <v>0</v>
      </c>
      <c r="ER98">
        <v>366.49</v>
      </c>
      <c r="ES98">
        <v>8.5399999999999991</v>
      </c>
      <c r="ET98">
        <v>44.24</v>
      </c>
      <c r="EU98">
        <v>17.149999999999999</v>
      </c>
      <c r="EV98">
        <v>313.70999999999998</v>
      </c>
      <c r="EW98">
        <v>39.51</v>
      </c>
      <c r="EX98">
        <v>1.27</v>
      </c>
      <c r="EY98">
        <v>0</v>
      </c>
      <c r="FQ98">
        <v>0</v>
      </c>
      <c r="FR98">
        <f t="shared" si="97"/>
        <v>0</v>
      </c>
      <c r="FS98">
        <v>0</v>
      </c>
      <c r="FT98" t="s">
        <v>23</v>
      </c>
      <c r="FU98" t="s">
        <v>24</v>
      </c>
      <c r="FX98">
        <v>110.7</v>
      </c>
      <c r="FY98">
        <v>63.75</v>
      </c>
      <c r="GA98" t="s">
        <v>6</v>
      </c>
      <c r="GD98">
        <v>0</v>
      </c>
      <c r="GF98">
        <v>192743499</v>
      </c>
      <c r="GG98">
        <v>1</v>
      </c>
      <c r="GH98">
        <v>1</v>
      </c>
      <c r="GI98">
        <v>4</v>
      </c>
      <c r="GJ98">
        <v>0</v>
      </c>
      <c r="GK98">
        <f>ROUND(R98*(R12)/100,2)</f>
        <v>0</v>
      </c>
      <c r="GL98">
        <f t="shared" si="98"/>
        <v>0</v>
      </c>
      <c r="GM98">
        <f t="shared" si="99"/>
        <v>14623.15</v>
      </c>
      <c r="GN98">
        <f t="shared" si="100"/>
        <v>14623.15</v>
      </c>
      <c r="GO98">
        <f t="shared" si="101"/>
        <v>0</v>
      </c>
      <c r="GP98">
        <f t="shared" si="102"/>
        <v>0</v>
      </c>
      <c r="GR98">
        <v>0</v>
      </c>
      <c r="GS98">
        <v>3</v>
      </c>
      <c r="GT98">
        <v>0</v>
      </c>
      <c r="GU98" t="s">
        <v>6</v>
      </c>
      <c r="GV98">
        <f t="shared" si="103"/>
        <v>0</v>
      </c>
      <c r="GW98">
        <v>1</v>
      </c>
      <c r="GX98">
        <f t="shared" si="104"/>
        <v>0</v>
      </c>
      <c r="HA98">
        <v>0</v>
      </c>
      <c r="HB98">
        <v>0</v>
      </c>
      <c r="HC98">
        <f t="shared" si="105"/>
        <v>0</v>
      </c>
      <c r="IK98">
        <v>0</v>
      </c>
    </row>
    <row r="99" spans="1:245" x14ac:dyDescent="0.2">
      <c r="A99">
        <v>18</v>
      </c>
      <c r="B99">
        <v>1</v>
      </c>
      <c r="C99">
        <v>131</v>
      </c>
      <c r="E99" t="s">
        <v>251</v>
      </c>
      <c r="F99" t="s">
        <v>252</v>
      </c>
      <c r="G99" t="s">
        <v>253</v>
      </c>
      <c r="H99" t="s">
        <v>254</v>
      </c>
      <c r="I99">
        <f>I98*J99</f>
        <v>3.3925200000000002</v>
      </c>
      <c r="J99">
        <v>2.04</v>
      </c>
      <c r="O99">
        <f t="shared" si="71"/>
        <v>0</v>
      </c>
      <c r="P99">
        <f t="shared" si="72"/>
        <v>0</v>
      </c>
      <c r="Q99">
        <f t="shared" si="73"/>
        <v>0</v>
      </c>
      <c r="R99">
        <f t="shared" si="74"/>
        <v>0</v>
      </c>
      <c r="S99">
        <f t="shared" si="75"/>
        <v>0</v>
      </c>
      <c r="T99">
        <f t="shared" si="76"/>
        <v>0</v>
      </c>
      <c r="U99">
        <f t="shared" si="77"/>
        <v>0</v>
      </c>
      <c r="V99">
        <f t="shared" si="78"/>
        <v>0</v>
      </c>
      <c r="W99">
        <f t="shared" si="79"/>
        <v>0</v>
      </c>
      <c r="X99">
        <f t="shared" si="80"/>
        <v>0</v>
      </c>
      <c r="Y99">
        <f t="shared" si="81"/>
        <v>0</v>
      </c>
      <c r="AA99">
        <v>16808636</v>
      </c>
      <c r="AB99">
        <f t="shared" si="82"/>
        <v>0</v>
      </c>
      <c r="AC99">
        <f t="shared" si="83"/>
        <v>0</v>
      </c>
      <c r="AD99">
        <f>ROUND((((ET99)-(EU99))+AE99),2)</f>
        <v>0</v>
      </c>
      <c r="AE99">
        <f>ROUND((EU99),2)</f>
        <v>0</v>
      </c>
      <c r="AF99">
        <f>ROUND((EV99),2)</f>
        <v>0</v>
      </c>
      <c r="AG99">
        <f t="shared" si="84"/>
        <v>0</v>
      </c>
      <c r="AH99">
        <f>(EW99)</f>
        <v>0</v>
      </c>
      <c r="AI99">
        <f>(EX99)</f>
        <v>0</v>
      </c>
      <c r="AJ99">
        <f t="shared" si="85"/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111</v>
      </c>
      <c r="AU99">
        <v>64</v>
      </c>
      <c r="AV99">
        <v>1</v>
      </c>
      <c r="AW99">
        <v>1</v>
      </c>
      <c r="AZ99">
        <v>6.71</v>
      </c>
      <c r="BA99">
        <v>1</v>
      </c>
      <c r="BB99">
        <v>1</v>
      </c>
      <c r="BC99">
        <v>6.71</v>
      </c>
      <c r="BD99" t="s">
        <v>6</v>
      </c>
      <c r="BE99" t="s">
        <v>6</v>
      </c>
      <c r="BF99" t="s">
        <v>6</v>
      </c>
      <c r="BG99" t="s">
        <v>6</v>
      </c>
      <c r="BH99">
        <v>3</v>
      </c>
      <c r="BI99">
        <v>1</v>
      </c>
      <c r="BJ99" t="s">
        <v>6</v>
      </c>
      <c r="BM99">
        <v>11001</v>
      </c>
      <c r="BN99">
        <v>0</v>
      </c>
      <c r="BO99" t="s">
        <v>6</v>
      </c>
      <c r="BP99">
        <v>0</v>
      </c>
      <c r="BQ99">
        <v>2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123</v>
      </c>
      <c r="CA99">
        <v>75</v>
      </c>
      <c r="CE99">
        <v>0</v>
      </c>
      <c r="CF99">
        <v>0</v>
      </c>
      <c r="CG99">
        <v>0</v>
      </c>
      <c r="CM99">
        <v>0</v>
      </c>
      <c r="CN99" t="s">
        <v>6</v>
      </c>
      <c r="CO99">
        <v>0</v>
      </c>
      <c r="CP99">
        <f t="shared" si="86"/>
        <v>0</v>
      </c>
      <c r="CQ99">
        <f t="shared" si="87"/>
        <v>0</v>
      </c>
      <c r="CR99">
        <f t="shared" si="88"/>
        <v>0</v>
      </c>
      <c r="CS99">
        <f t="shared" si="89"/>
        <v>0</v>
      </c>
      <c r="CT99">
        <f t="shared" si="90"/>
        <v>0</v>
      </c>
      <c r="CU99">
        <f t="shared" si="91"/>
        <v>0</v>
      </c>
      <c r="CV99">
        <f t="shared" si="92"/>
        <v>0</v>
      </c>
      <c r="CW99">
        <f t="shared" si="93"/>
        <v>0</v>
      </c>
      <c r="CX99">
        <f t="shared" si="94"/>
        <v>0</v>
      </c>
      <c r="CY99">
        <f t="shared" si="95"/>
        <v>0</v>
      </c>
      <c r="CZ99">
        <f t="shared" si="96"/>
        <v>0</v>
      </c>
      <c r="DC99" t="s">
        <v>6</v>
      </c>
      <c r="DD99" t="s">
        <v>6</v>
      </c>
      <c r="DE99" t="s">
        <v>6</v>
      </c>
      <c r="DF99" t="s">
        <v>6</v>
      </c>
      <c r="DG99" t="s">
        <v>6</v>
      </c>
      <c r="DH99" t="s">
        <v>6</v>
      </c>
      <c r="DI99" t="s">
        <v>6</v>
      </c>
      <c r="DJ99" t="s">
        <v>6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1007</v>
      </c>
      <c r="DV99" t="s">
        <v>254</v>
      </c>
      <c r="DW99" t="s">
        <v>254</v>
      </c>
      <c r="DX99">
        <v>1</v>
      </c>
      <c r="EE99">
        <v>16510488</v>
      </c>
      <c r="EF99">
        <v>2</v>
      </c>
      <c r="EG99" t="s">
        <v>20</v>
      </c>
      <c r="EH99">
        <v>0</v>
      </c>
      <c r="EI99" t="s">
        <v>6</v>
      </c>
      <c r="EJ99">
        <v>1</v>
      </c>
      <c r="EK99">
        <v>11001</v>
      </c>
      <c r="EL99" t="s">
        <v>75</v>
      </c>
      <c r="EM99" t="s">
        <v>83</v>
      </c>
      <c r="EO99" t="s">
        <v>6</v>
      </c>
      <c r="EQ99">
        <v>0</v>
      </c>
      <c r="ER99">
        <v>0</v>
      </c>
      <c r="ES99">
        <v>0</v>
      </c>
      <c r="ET99">
        <v>0</v>
      </c>
      <c r="EU99">
        <v>0</v>
      </c>
      <c r="EV99">
        <v>0</v>
      </c>
      <c r="EW99">
        <v>0</v>
      </c>
      <c r="EX99">
        <v>0</v>
      </c>
      <c r="FQ99">
        <v>0</v>
      </c>
      <c r="FR99">
        <f t="shared" si="97"/>
        <v>0</v>
      </c>
      <c r="FS99">
        <v>0</v>
      </c>
      <c r="FT99" t="s">
        <v>23</v>
      </c>
      <c r="FU99" t="s">
        <v>24</v>
      </c>
      <c r="FX99">
        <v>110.7</v>
      </c>
      <c r="FY99">
        <v>63.75</v>
      </c>
      <c r="GA99" t="s">
        <v>6</v>
      </c>
      <c r="GD99">
        <v>0</v>
      </c>
      <c r="GF99">
        <v>-2113302258</v>
      </c>
      <c r="GG99">
        <v>1</v>
      </c>
      <c r="GH99">
        <v>1</v>
      </c>
      <c r="GI99">
        <v>4</v>
      </c>
      <c r="GJ99">
        <v>0</v>
      </c>
      <c r="GK99">
        <f>ROUND(R99*(R12)/100,2)</f>
        <v>0</v>
      </c>
      <c r="GL99">
        <f t="shared" si="98"/>
        <v>0</v>
      </c>
      <c r="GM99">
        <f t="shared" si="99"/>
        <v>0</v>
      </c>
      <c r="GN99">
        <f t="shared" si="100"/>
        <v>0</v>
      </c>
      <c r="GO99">
        <f t="shared" si="101"/>
        <v>0</v>
      </c>
      <c r="GP99">
        <f t="shared" si="102"/>
        <v>0</v>
      </c>
      <c r="GR99">
        <v>0</v>
      </c>
      <c r="GS99">
        <v>3</v>
      </c>
      <c r="GT99">
        <v>0</v>
      </c>
      <c r="GU99" t="s">
        <v>6</v>
      </c>
      <c r="GV99">
        <f t="shared" si="103"/>
        <v>0</v>
      </c>
      <c r="GW99">
        <v>1</v>
      </c>
      <c r="GX99">
        <f t="shared" si="104"/>
        <v>0</v>
      </c>
      <c r="HA99">
        <v>0</v>
      </c>
      <c r="HB99">
        <v>0</v>
      </c>
      <c r="HC99">
        <f t="shared" si="105"/>
        <v>0</v>
      </c>
      <c r="IK99">
        <v>0</v>
      </c>
    </row>
    <row r="100" spans="1:245" x14ac:dyDescent="0.2">
      <c r="A100">
        <v>18</v>
      </c>
      <c r="B100">
        <v>1</v>
      </c>
      <c r="C100">
        <v>132</v>
      </c>
      <c r="E100" t="s">
        <v>255</v>
      </c>
      <c r="F100" t="s">
        <v>256</v>
      </c>
      <c r="G100" t="s">
        <v>257</v>
      </c>
      <c r="H100" t="s">
        <v>254</v>
      </c>
      <c r="I100">
        <f>I98*J100</f>
        <v>3.3925200000000002</v>
      </c>
      <c r="J100">
        <v>2.04</v>
      </c>
      <c r="O100">
        <f t="shared" si="71"/>
        <v>14837</v>
      </c>
      <c r="P100">
        <f t="shared" si="72"/>
        <v>14837</v>
      </c>
      <c r="Q100">
        <f t="shared" si="73"/>
        <v>0</v>
      </c>
      <c r="R100">
        <f t="shared" si="74"/>
        <v>0</v>
      </c>
      <c r="S100">
        <f t="shared" si="75"/>
        <v>0</v>
      </c>
      <c r="T100">
        <f t="shared" si="76"/>
        <v>0</v>
      </c>
      <c r="U100">
        <f t="shared" si="77"/>
        <v>0</v>
      </c>
      <c r="V100">
        <f t="shared" si="78"/>
        <v>0</v>
      </c>
      <c r="W100">
        <f t="shared" si="79"/>
        <v>0</v>
      </c>
      <c r="X100">
        <f t="shared" si="80"/>
        <v>0</v>
      </c>
      <c r="Y100">
        <f t="shared" si="81"/>
        <v>0</v>
      </c>
      <c r="AA100">
        <v>16808636</v>
      </c>
      <c r="AB100">
        <f t="shared" si="82"/>
        <v>651.78</v>
      </c>
      <c r="AC100">
        <f t="shared" si="83"/>
        <v>651.78</v>
      </c>
      <c r="AD100">
        <f>ROUND((((ET100)-(EU100))+AE100),2)</f>
        <v>0</v>
      </c>
      <c r="AE100">
        <f>ROUND((EU100),2)</f>
        <v>0</v>
      </c>
      <c r="AF100">
        <f>ROUND((EV100),2)</f>
        <v>0</v>
      </c>
      <c r="AG100">
        <f t="shared" si="84"/>
        <v>0</v>
      </c>
      <c r="AH100">
        <f>(EW100)</f>
        <v>0</v>
      </c>
      <c r="AI100">
        <f>(EX100)</f>
        <v>0</v>
      </c>
      <c r="AJ100">
        <f t="shared" si="85"/>
        <v>0</v>
      </c>
      <c r="AK100">
        <v>651.78</v>
      </c>
      <c r="AL100">
        <v>651.78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111</v>
      </c>
      <c r="AU100">
        <v>64</v>
      </c>
      <c r="AV100">
        <v>1</v>
      </c>
      <c r="AW100">
        <v>1</v>
      </c>
      <c r="AZ100">
        <v>6.71</v>
      </c>
      <c r="BA100">
        <v>1</v>
      </c>
      <c r="BB100">
        <v>1</v>
      </c>
      <c r="BC100">
        <v>6.71</v>
      </c>
      <c r="BD100" t="s">
        <v>6</v>
      </c>
      <c r="BE100" t="s">
        <v>6</v>
      </c>
      <c r="BF100" t="s">
        <v>6</v>
      </c>
      <c r="BG100" t="s">
        <v>6</v>
      </c>
      <c r="BH100">
        <v>3</v>
      </c>
      <c r="BI100">
        <v>1</v>
      </c>
      <c r="BJ100" t="s">
        <v>258</v>
      </c>
      <c r="BM100">
        <v>11001</v>
      </c>
      <c r="BN100">
        <v>0</v>
      </c>
      <c r="BO100" t="s">
        <v>6</v>
      </c>
      <c r="BP100">
        <v>0</v>
      </c>
      <c r="BQ100">
        <v>2</v>
      </c>
      <c r="BR100">
        <v>0</v>
      </c>
      <c r="BS100">
        <v>1</v>
      </c>
      <c r="BT100">
        <v>1</v>
      </c>
      <c r="BU100">
        <v>1</v>
      </c>
      <c r="BV100">
        <v>1</v>
      </c>
      <c r="BW100">
        <v>1</v>
      </c>
      <c r="BX100">
        <v>1</v>
      </c>
      <c r="BY100" t="s">
        <v>6</v>
      </c>
      <c r="BZ100">
        <v>123</v>
      </c>
      <c r="CA100">
        <v>75</v>
      </c>
      <c r="CE100">
        <v>0</v>
      </c>
      <c r="CF100">
        <v>0</v>
      </c>
      <c r="CG100">
        <v>0</v>
      </c>
      <c r="CM100">
        <v>0</v>
      </c>
      <c r="CN100" t="s">
        <v>6</v>
      </c>
      <c r="CO100">
        <v>0</v>
      </c>
      <c r="CP100">
        <f t="shared" si="86"/>
        <v>14837</v>
      </c>
      <c r="CQ100">
        <f t="shared" si="87"/>
        <v>4373.4438</v>
      </c>
      <c r="CR100">
        <f t="shared" si="88"/>
        <v>0</v>
      </c>
      <c r="CS100">
        <f t="shared" si="89"/>
        <v>0</v>
      </c>
      <c r="CT100">
        <f t="shared" si="90"/>
        <v>0</v>
      </c>
      <c r="CU100">
        <f t="shared" si="91"/>
        <v>0</v>
      </c>
      <c r="CV100">
        <f t="shared" si="92"/>
        <v>0</v>
      </c>
      <c r="CW100">
        <f t="shared" si="93"/>
        <v>0</v>
      </c>
      <c r="CX100">
        <f t="shared" si="94"/>
        <v>0</v>
      </c>
      <c r="CY100">
        <f t="shared" si="95"/>
        <v>0</v>
      </c>
      <c r="CZ100">
        <f t="shared" si="96"/>
        <v>0</v>
      </c>
      <c r="DC100" t="s">
        <v>6</v>
      </c>
      <c r="DD100" t="s">
        <v>6</v>
      </c>
      <c r="DE100" t="s">
        <v>6</v>
      </c>
      <c r="DF100" t="s">
        <v>6</v>
      </c>
      <c r="DG100" t="s">
        <v>6</v>
      </c>
      <c r="DH100" t="s">
        <v>6</v>
      </c>
      <c r="DI100" t="s">
        <v>6</v>
      </c>
      <c r="DJ100" t="s">
        <v>6</v>
      </c>
      <c r="DK100" t="s">
        <v>6</v>
      </c>
      <c r="DL100" t="s">
        <v>6</v>
      </c>
      <c r="DM100" t="s">
        <v>6</v>
      </c>
      <c r="DN100">
        <v>0</v>
      </c>
      <c r="DO100">
        <v>0</v>
      </c>
      <c r="DP100">
        <v>1</v>
      </c>
      <c r="DQ100">
        <v>1</v>
      </c>
      <c r="DU100">
        <v>1007</v>
      </c>
      <c r="DV100" t="s">
        <v>254</v>
      </c>
      <c r="DW100" t="s">
        <v>254</v>
      </c>
      <c r="DX100">
        <v>1</v>
      </c>
      <c r="EE100">
        <v>16510488</v>
      </c>
      <c r="EF100">
        <v>2</v>
      </c>
      <c r="EG100" t="s">
        <v>20</v>
      </c>
      <c r="EH100">
        <v>0</v>
      </c>
      <c r="EI100" t="s">
        <v>6</v>
      </c>
      <c r="EJ100">
        <v>1</v>
      </c>
      <c r="EK100">
        <v>11001</v>
      </c>
      <c r="EL100" t="s">
        <v>75</v>
      </c>
      <c r="EM100" t="s">
        <v>83</v>
      </c>
      <c r="EO100" t="s">
        <v>6</v>
      </c>
      <c r="EQ100">
        <v>0</v>
      </c>
      <c r="ER100">
        <v>651.78</v>
      </c>
      <c r="ES100">
        <v>651.78</v>
      </c>
      <c r="ET100">
        <v>0</v>
      </c>
      <c r="EU100">
        <v>0</v>
      </c>
      <c r="EV100">
        <v>0</v>
      </c>
      <c r="EW100">
        <v>0</v>
      </c>
      <c r="EX100">
        <v>0</v>
      </c>
      <c r="FQ100">
        <v>0</v>
      </c>
      <c r="FR100">
        <f t="shared" si="97"/>
        <v>0</v>
      </c>
      <c r="FS100">
        <v>0</v>
      </c>
      <c r="FT100" t="s">
        <v>23</v>
      </c>
      <c r="FU100" t="s">
        <v>24</v>
      </c>
      <c r="FX100">
        <v>110.7</v>
      </c>
      <c r="FY100">
        <v>63.75</v>
      </c>
      <c r="GA100" t="s">
        <v>6</v>
      </c>
      <c r="GD100">
        <v>0</v>
      </c>
      <c r="GF100">
        <v>121454568</v>
      </c>
      <c r="GG100">
        <v>1</v>
      </c>
      <c r="GH100">
        <v>1</v>
      </c>
      <c r="GI100">
        <v>4</v>
      </c>
      <c r="GJ100">
        <v>0</v>
      </c>
      <c r="GK100">
        <f>ROUND(R100*(R12)/100,2)</f>
        <v>0</v>
      </c>
      <c r="GL100">
        <f t="shared" si="98"/>
        <v>0</v>
      </c>
      <c r="GM100">
        <f t="shared" si="99"/>
        <v>14837</v>
      </c>
      <c r="GN100">
        <f t="shared" si="100"/>
        <v>14837</v>
      </c>
      <c r="GO100">
        <f t="shared" si="101"/>
        <v>0</v>
      </c>
      <c r="GP100">
        <f t="shared" si="102"/>
        <v>0</v>
      </c>
      <c r="GR100">
        <v>0</v>
      </c>
      <c r="GS100">
        <v>3</v>
      </c>
      <c r="GT100">
        <v>0</v>
      </c>
      <c r="GU100" t="s">
        <v>6</v>
      </c>
      <c r="GV100">
        <f t="shared" si="103"/>
        <v>0</v>
      </c>
      <c r="GW100">
        <v>1</v>
      </c>
      <c r="GX100">
        <f t="shared" si="104"/>
        <v>0</v>
      </c>
      <c r="HA100">
        <v>0</v>
      </c>
      <c r="HB100">
        <v>0</v>
      </c>
      <c r="HC100">
        <f t="shared" si="105"/>
        <v>0</v>
      </c>
      <c r="IK100">
        <v>0</v>
      </c>
    </row>
    <row r="101" spans="1:245" x14ac:dyDescent="0.2">
      <c r="A101">
        <v>17</v>
      </c>
      <c r="B101">
        <v>1</v>
      </c>
      <c r="C101">
        <f>ROW(SmtRes!A139)</f>
        <v>139</v>
      </c>
      <c r="D101">
        <f>ROW(EtalonRes!A140)</f>
        <v>140</v>
      </c>
      <c r="E101" t="s">
        <v>259</v>
      </c>
      <c r="F101" t="s">
        <v>260</v>
      </c>
      <c r="G101" t="s">
        <v>261</v>
      </c>
      <c r="H101" t="s">
        <v>18</v>
      </c>
      <c r="I101">
        <f>ROUND(166.3/100,9)</f>
        <v>1.663</v>
      </c>
      <c r="J101">
        <v>0</v>
      </c>
      <c r="O101">
        <f t="shared" si="71"/>
        <v>67880.89</v>
      </c>
      <c r="P101">
        <f t="shared" si="72"/>
        <v>63789.88</v>
      </c>
      <c r="Q101">
        <f t="shared" si="73"/>
        <v>54.45</v>
      </c>
      <c r="R101">
        <f t="shared" si="74"/>
        <v>17.41</v>
      </c>
      <c r="S101">
        <f t="shared" si="75"/>
        <v>4036.56</v>
      </c>
      <c r="T101">
        <f t="shared" si="76"/>
        <v>0</v>
      </c>
      <c r="U101">
        <f t="shared" si="77"/>
        <v>70.5235062</v>
      </c>
      <c r="V101">
        <f t="shared" si="78"/>
        <v>0.22450499999999998</v>
      </c>
      <c r="W101">
        <f t="shared" si="79"/>
        <v>0</v>
      </c>
      <c r="X101">
        <f t="shared" si="80"/>
        <v>4499.91</v>
      </c>
      <c r="Y101">
        <f t="shared" si="81"/>
        <v>2594.54</v>
      </c>
      <c r="AA101">
        <v>16808636</v>
      </c>
      <c r="AB101">
        <f t="shared" si="82"/>
        <v>6083.21</v>
      </c>
      <c r="AC101">
        <f t="shared" si="83"/>
        <v>5716.59</v>
      </c>
      <c r="AD101">
        <f>ROUND((((((ET101*1.25)*1.2))-(((EU101*1.25)*1.2)))+AE101),2)</f>
        <v>4.88</v>
      </c>
      <c r="AE101">
        <f>ROUND((((EU101*1.25)*1.2)),2)</f>
        <v>1.56</v>
      </c>
      <c r="AF101">
        <f>ROUND((((EV101*1.15)*1.2)),2)</f>
        <v>361.74</v>
      </c>
      <c r="AG101">
        <f t="shared" si="84"/>
        <v>0</v>
      </c>
      <c r="AH101">
        <f>(((EW101*1.15)*1.2))</f>
        <v>42.407400000000003</v>
      </c>
      <c r="AI101">
        <f>(((EX101*1.25)*1.2))</f>
        <v>0.13499999999999998</v>
      </c>
      <c r="AJ101">
        <f t="shared" si="85"/>
        <v>0</v>
      </c>
      <c r="AK101">
        <v>5981.97</v>
      </c>
      <c r="AL101">
        <v>5716.59</v>
      </c>
      <c r="AM101">
        <v>3.25</v>
      </c>
      <c r="AN101">
        <v>1.04</v>
      </c>
      <c r="AO101">
        <v>262.13</v>
      </c>
      <c r="AP101">
        <v>0</v>
      </c>
      <c r="AQ101">
        <v>30.73</v>
      </c>
      <c r="AR101">
        <v>0.09</v>
      </c>
      <c r="AS101">
        <v>0</v>
      </c>
      <c r="AT101">
        <v>111</v>
      </c>
      <c r="AU101">
        <v>64</v>
      </c>
      <c r="AV101">
        <v>1</v>
      </c>
      <c r="AW101">
        <v>1</v>
      </c>
      <c r="AZ101">
        <v>6.71</v>
      </c>
      <c r="BA101">
        <v>6.71</v>
      </c>
      <c r="BB101">
        <v>6.71</v>
      </c>
      <c r="BC101">
        <v>6.71</v>
      </c>
      <c r="BD101" t="s">
        <v>6</v>
      </c>
      <c r="BE101" t="s">
        <v>6</v>
      </c>
      <c r="BF101" t="s">
        <v>6</v>
      </c>
      <c r="BG101" t="s">
        <v>6</v>
      </c>
      <c r="BH101">
        <v>0</v>
      </c>
      <c r="BI101">
        <v>1</v>
      </c>
      <c r="BJ101" t="s">
        <v>262</v>
      </c>
      <c r="BM101">
        <v>11001</v>
      </c>
      <c r="BN101">
        <v>0</v>
      </c>
      <c r="BO101" t="s">
        <v>6</v>
      </c>
      <c r="BP101">
        <v>0</v>
      </c>
      <c r="BQ101">
        <v>2</v>
      </c>
      <c r="BR101">
        <v>0</v>
      </c>
      <c r="BS101">
        <v>6.71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123</v>
      </c>
      <c r="CA101">
        <v>75</v>
      </c>
      <c r="CE101">
        <v>0</v>
      </c>
      <c r="CF101">
        <v>0</v>
      </c>
      <c r="CG101">
        <v>0</v>
      </c>
      <c r="CM101">
        <v>0</v>
      </c>
      <c r="CN101" t="s">
        <v>1057</v>
      </c>
      <c r="CO101">
        <v>0</v>
      </c>
      <c r="CP101">
        <f t="shared" si="86"/>
        <v>67880.89</v>
      </c>
      <c r="CQ101">
        <f t="shared" si="87"/>
        <v>38358.318899999998</v>
      </c>
      <c r="CR101">
        <f t="shared" si="88"/>
        <v>32.744799999999998</v>
      </c>
      <c r="CS101">
        <f t="shared" si="89"/>
        <v>10.467600000000001</v>
      </c>
      <c r="CT101">
        <f t="shared" si="90"/>
        <v>2427.2754</v>
      </c>
      <c r="CU101">
        <f t="shared" si="91"/>
        <v>0</v>
      </c>
      <c r="CV101">
        <f t="shared" si="92"/>
        <v>42.407400000000003</v>
      </c>
      <c r="CW101">
        <f t="shared" si="93"/>
        <v>0.13499999999999998</v>
      </c>
      <c r="CX101">
        <f t="shared" si="94"/>
        <v>0</v>
      </c>
      <c r="CY101">
        <f t="shared" si="95"/>
        <v>4499.9066999999995</v>
      </c>
      <c r="CZ101">
        <f t="shared" si="96"/>
        <v>2594.5407999999998</v>
      </c>
      <c r="DC101" t="s">
        <v>6</v>
      </c>
      <c r="DD101" t="s">
        <v>6</v>
      </c>
      <c r="DE101" t="s">
        <v>174</v>
      </c>
      <c r="DF101" t="s">
        <v>174</v>
      </c>
      <c r="DG101" t="s">
        <v>175</v>
      </c>
      <c r="DH101" t="s">
        <v>6</v>
      </c>
      <c r="DI101" t="s">
        <v>175</v>
      </c>
      <c r="DJ101" t="s">
        <v>174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1005</v>
      </c>
      <c r="DV101" t="s">
        <v>18</v>
      </c>
      <c r="DW101" t="s">
        <v>18</v>
      </c>
      <c r="DX101">
        <v>100</v>
      </c>
      <c r="EE101">
        <v>16510488</v>
      </c>
      <c r="EF101">
        <v>2</v>
      </c>
      <c r="EG101" t="s">
        <v>20</v>
      </c>
      <c r="EH101">
        <v>0</v>
      </c>
      <c r="EI101" t="s">
        <v>6</v>
      </c>
      <c r="EJ101">
        <v>1</v>
      </c>
      <c r="EK101">
        <v>11001</v>
      </c>
      <c r="EL101" t="s">
        <v>75</v>
      </c>
      <c r="EM101" t="s">
        <v>83</v>
      </c>
      <c r="EO101" t="s">
        <v>178</v>
      </c>
      <c r="EQ101">
        <v>0</v>
      </c>
      <c r="ER101">
        <v>5981.97</v>
      </c>
      <c r="ES101">
        <v>5716.59</v>
      </c>
      <c r="ET101">
        <v>3.25</v>
      </c>
      <c r="EU101">
        <v>1.04</v>
      </c>
      <c r="EV101">
        <v>262.13</v>
      </c>
      <c r="EW101">
        <v>30.73</v>
      </c>
      <c r="EX101">
        <v>0.09</v>
      </c>
      <c r="EY101">
        <v>0</v>
      </c>
      <c r="FQ101">
        <v>0</v>
      </c>
      <c r="FR101">
        <f t="shared" si="97"/>
        <v>0</v>
      </c>
      <c r="FS101">
        <v>0</v>
      </c>
      <c r="FT101" t="s">
        <v>23</v>
      </c>
      <c r="FU101" t="s">
        <v>24</v>
      </c>
      <c r="FX101">
        <v>110.7</v>
      </c>
      <c r="FY101">
        <v>63.75</v>
      </c>
      <c r="GA101" t="s">
        <v>6</v>
      </c>
      <c r="GD101">
        <v>0</v>
      </c>
      <c r="GF101">
        <v>1154869174</v>
      </c>
      <c r="GG101">
        <v>1</v>
      </c>
      <c r="GH101">
        <v>1</v>
      </c>
      <c r="GI101">
        <v>4</v>
      </c>
      <c r="GJ101">
        <v>0</v>
      </c>
      <c r="GK101">
        <f>ROUND(R101*(R12)/100,2)</f>
        <v>0</v>
      </c>
      <c r="GL101">
        <f t="shared" si="98"/>
        <v>0</v>
      </c>
      <c r="GM101">
        <f t="shared" si="99"/>
        <v>74975.34</v>
      </c>
      <c r="GN101">
        <f t="shared" si="100"/>
        <v>74975.34</v>
      </c>
      <c r="GO101">
        <f t="shared" si="101"/>
        <v>0</v>
      </c>
      <c r="GP101">
        <f t="shared" si="102"/>
        <v>0</v>
      </c>
      <c r="GR101">
        <v>0</v>
      </c>
      <c r="GS101">
        <v>3</v>
      </c>
      <c r="GT101">
        <v>0</v>
      </c>
      <c r="GU101" t="s">
        <v>6</v>
      </c>
      <c r="GV101">
        <f t="shared" si="103"/>
        <v>0</v>
      </c>
      <c r="GW101">
        <v>1</v>
      </c>
      <c r="GX101">
        <f t="shared" si="104"/>
        <v>0</v>
      </c>
      <c r="HA101">
        <v>0</v>
      </c>
      <c r="HB101">
        <v>0</v>
      </c>
      <c r="HC101">
        <f t="shared" si="105"/>
        <v>0</v>
      </c>
      <c r="IK101">
        <v>0</v>
      </c>
    </row>
    <row r="102" spans="1:245" x14ac:dyDescent="0.2">
      <c r="A102">
        <v>17</v>
      </c>
      <c r="B102">
        <v>1</v>
      </c>
      <c r="C102">
        <f>ROW(SmtRes!A148)</f>
        <v>148</v>
      </c>
      <c r="D102">
        <f>ROW(EtalonRes!A147)</f>
        <v>147</v>
      </c>
      <c r="E102" t="s">
        <v>263</v>
      </c>
      <c r="F102" t="s">
        <v>264</v>
      </c>
      <c r="G102" t="s">
        <v>265</v>
      </c>
      <c r="H102" t="s">
        <v>18</v>
      </c>
      <c r="I102">
        <f>ROUND(118/100,9)</f>
        <v>1.18</v>
      </c>
      <c r="J102">
        <v>0</v>
      </c>
      <c r="O102">
        <f t="shared" si="71"/>
        <v>3566.97</v>
      </c>
      <c r="P102">
        <f t="shared" si="72"/>
        <v>0</v>
      </c>
      <c r="Q102">
        <f t="shared" si="73"/>
        <v>714.9</v>
      </c>
      <c r="R102">
        <f t="shared" si="74"/>
        <v>120.67</v>
      </c>
      <c r="S102">
        <f t="shared" si="75"/>
        <v>2852.07</v>
      </c>
      <c r="T102">
        <f t="shared" si="76"/>
        <v>0</v>
      </c>
      <c r="U102">
        <f t="shared" si="77"/>
        <v>51.148043999999992</v>
      </c>
      <c r="V102">
        <f t="shared" si="78"/>
        <v>1.4513999999999996</v>
      </c>
      <c r="W102">
        <f t="shared" si="79"/>
        <v>0</v>
      </c>
      <c r="X102">
        <f t="shared" si="80"/>
        <v>3299.74</v>
      </c>
      <c r="Y102">
        <f t="shared" si="81"/>
        <v>1902.55</v>
      </c>
      <c r="AA102">
        <v>16808636</v>
      </c>
      <c r="AB102">
        <f t="shared" si="82"/>
        <v>450.5</v>
      </c>
      <c r="AC102">
        <f t="shared" si="83"/>
        <v>0</v>
      </c>
      <c r="AD102">
        <f>ROUND((((((ET102*1.25)*1.2))-(((EU102*1.25)*1.2)))+AE102),2)</f>
        <v>90.29</v>
      </c>
      <c r="AE102">
        <f>ROUND((((EU102*1.25)*1.2)),2)</f>
        <v>15.24</v>
      </c>
      <c r="AF102">
        <f>ROUND((((EV102*1.15)*1.2)),2)</f>
        <v>360.21</v>
      </c>
      <c r="AG102">
        <f t="shared" si="84"/>
        <v>0</v>
      </c>
      <c r="AH102">
        <f>(((EW102*1.15)*1.2))</f>
        <v>43.345799999999997</v>
      </c>
      <c r="AI102">
        <f>(((EX102*1.25)*1.2))</f>
        <v>1.2299999999999998</v>
      </c>
      <c r="AJ102">
        <f t="shared" si="85"/>
        <v>0</v>
      </c>
      <c r="AK102">
        <v>321.20999999999998</v>
      </c>
      <c r="AL102">
        <v>0</v>
      </c>
      <c r="AM102">
        <v>60.19</v>
      </c>
      <c r="AN102">
        <v>10.16</v>
      </c>
      <c r="AO102">
        <v>261.02</v>
      </c>
      <c r="AP102">
        <v>0</v>
      </c>
      <c r="AQ102">
        <v>31.41</v>
      </c>
      <c r="AR102">
        <v>0.82</v>
      </c>
      <c r="AS102">
        <v>0</v>
      </c>
      <c r="AT102">
        <v>111</v>
      </c>
      <c r="AU102">
        <v>64</v>
      </c>
      <c r="AV102">
        <v>1</v>
      </c>
      <c r="AW102">
        <v>1</v>
      </c>
      <c r="AZ102">
        <v>6.71</v>
      </c>
      <c r="BA102">
        <v>6.71</v>
      </c>
      <c r="BB102">
        <v>6.71</v>
      </c>
      <c r="BC102">
        <v>6.71</v>
      </c>
      <c r="BD102" t="s">
        <v>6</v>
      </c>
      <c r="BE102" t="s">
        <v>6</v>
      </c>
      <c r="BF102" t="s">
        <v>6</v>
      </c>
      <c r="BG102" t="s">
        <v>6</v>
      </c>
      <c r="BH102">
        <v>0</v>
      </c>
      <c r="BI102">
        <v>1</v>
      </c>
      <c r="BJ102" t="s">
        <v>266</v>
      </c>
      <c r="BM102">
        <v>11001</v>
      </c>
      <c r="BN102">
        <v>0</v>
      </c>
      <c r="BO102" t="s">
        <v>6</v>
      </c>
      <c r="BP102">
        <v>0</v>
      </c>
      <c r="BQ102">
        <v>2</v>
      </c>
      <c r="BR102">
        <v>0</v>
      </c>
      <c r="BS102">
        <v>6.71</v>
      </c>
      <c r="BT102">
        <v>1</v>
      </c>
      <c r="BU102">
        <v>1</v>
      </c>
      <c r="BV102">
        <v>1</v>
      </c>
      <c r="BW102">
        <v>1</v>
      </c>
      <c r="BX102">
        <v>1</v>
      </c>
      <c r="BY102" t="s">
        <v>6</v>
      </c>
      <c r="BZ102">
        <v>123</v>
      </c>
      <c r="CA102">
        <v>75</v>
      </c>
      <c r="CE102">
        <v>0</v>
      </c>
      <c r="CF102">
        <v>0</v>
      </c>
      <c r="CG102">
        <v>0</v>
      </c>
      <c r="CM102">
        <v>0</v>
      </c>
      <c r="CN102" t="s">
        <v>1057</v>
      </c>
      <c r="CO102">
        <v>0</v>
      </c>
      <c r="CP102">
        <f t="shared" si="86"/>
        <v>3566.9700000000003</v>
      </c>
      <c r="CQ102">
        <f t="shared" si="87"/>
        <v>0</v>
      </c>
      <c r="CR102">
        <f t="shared" si="88"/>
        <v>605.84590000000003</v>
      </c>
      <c r="CS102">
        <f t="shared" si="89"/>
        <v>102.2604</v>
      </c>
      <c r="CT102">
        <f t="shared" si="90"/>
        <v>2417.0090999999998</v>
      </c>
      <c r="CU102">
        <f t="shared" si="91"/>
        <v>0</v>
      </c>
      <c r="CV102">
        <f t="shared" si="92"/>
        <v>43.345799999999997</v>
      </c>
      <c r="CW102">
        <f t="shared" si="93"/>
        <v>1.2299999999999998</v>
      </c>
      <c r="CX102">
        <f t="shared" si="94"/>
        <v>0</v>
      </c>
      <c r="CY102">
        <f t="shared" si="95"/>
        <v>3299.7414000000003</v>
      </c>
      <c r="CZ102">
        <f t="shared" si="96"/>
        <v>1902.5536000000002</v>
      </c>
      <c r="DC102" t="s">
        <v>6</v>
      </c>
      <c r="DD102" t="s">
        <v>6</v>
      </c>
      <c r="DE102" t="s">
        <v>174</v>
      </c>
      <c r="DF102" t="s">
        <v>174</v>
      </c>
      <c r="DG102" t="s">
        <v>175</v>
      </c>
      <c r="DH102" t="s">
        <v>6</v>
      </c>
      <c r="DI102" t="s">
        <v>175</v>
      </c>
      <c r="DJ102" t="s">
        <v>174</v>
      </c>
      <c r="DK102" t="s">
        <v>6</v>
      </c>
      <c r="DL102" t="s">
        <v>6</v>
      </c>
      <c r="DM102" t="s">
        <v>6</v>
      </c>
      <c r="DN102">
        <v>0</v>
      </c>
      <c r="DO102">
        <v>0</v>
      </c>
      <c r="DP102">
        <v>1</v>
      </c>
      <c r="DQ102">
        <v>1</v>
      </c>
      <c r="DU102">
        <v>1005</v>
      </c>
      <c r="DV102" t="s">
        <v>18</v>
      </c>
      <c r="DW102" t="s">
        <v>18</v>
      </c>
      <c r="DX102">
        <v>100</v>
      </c>
      <c r="EE102">
        <v>16510488</v>
      </c>
      <c r="EF102">
        <v>2</v>
      </c>
      <c r="EG102" t="s">
        <v>20</v>
      </c>
      <c r="EH102">
        <v>0</v>
      </c>
      <c r="EI102" t="s">
        <v>6</v>
      </c>
      <c r="EJ102">
        <v>1</v>
      </c>
      <c r="EK102">
        <v>11001</v>
      </c>
      <c r="EL102" t="s">
        <v>75</v>
      </c>
      <c r="EM102" t="s">
        <v>83</v>
      </c>
      <c r="EO102" t="s">
        <v>178</v>
      </c>
      <c r="EQ102">
        <v>0</v>
      </c>
      <c r="ER102">
        <v>321.20999999999998</v>
      </c>
      <c r="ES102">
        <v>0</v>
      </c>
      <c r="ET102">
        <v>60.19</v>
      </c>
      <c r="EU102">
        <v>10.16</v>
      </c>
      <c r="EV102">
        <v>261.02</v>
      </c>
      <c r="EW102">
        <v>31.41</v>
      </c>
      <c r="EX102">
        <v>0.82</v>
      </c>
      <c r="EY102">
        <v>0</v>
      </c>
      <c r="FQ102">
        <v>0</v>
      </c>
      <c r="FR102">
        <f t="shared" si="97"/>
        <v>0</v>
      </c>
      <c r="FS102">
        <v>0</v>
      </c>
      <c r="FT102" t="s">
        <v>23</v>
      </c>
      <c r="FU102" t="s">
        <v>24</v>
      </c>
      <c r="FX102">
        <v>110.7</v>
      </c>
      <c r="FY102">
        <v>63.75</v>
      </c>
      <c r="GA102" t="s">
        <v>6</v>
      </c>
      <c r="GD102">
        <v>0</v>
      </c>
      <c r="GF102">
        <v>1445910452</v>
      </c>
      <c r="GG102">
        <v>1</v>
      </c>
      <c r="GH102">
        <v>1</v>
      </c>
      <c r="GI102">
        <v>4</v>
      </c>
      <c r="GJ102">
        <v>0</v>
      </c>
      <c r="GK102">
        <f>ROUND(R102*(R12)/100,2)</f>
        <v>0</v>
      </c>
      <c r="GL102">
        <f t="shared" si="98"/>
        <v>0</v>
      </c>
      <c r="GM102">
        <f t="shared" si="99"/>
        <v>8769.26</v>
      </c>
      <c r="GN102">
        <f t="shared" si="100"/>
        <v>8769.26</v>
      </c>
      <c r="GO102">
        <f t="shared" si="101"/>
        <v>0</v>
      </c>
      <c r="GP102">
        <f t="shared" si="102"/>
        <v>0</v>
      </c>
      <c r="GR102">
        <v>0</v>
      </c>
      <c r="GS102">
        <v>3</v>
      </c>
      <c r="GT102">
        <v>0</v>
      </c>
      <c r="GU102" t="s">
        <v>6</v>
      </c>
      <c r="GV102">
        <f t="shared" si="103"/>
        <v>0</v>
      </c>
      <c r="GW102">
        <v>1</v>
      </c>
      <c r="GX102">
        <f t="shared" si="104"/>
        <v>0</v>
      </c>
      <c r="HA102">
        <v>0</v>
      </c>
      <c r="HB102">
        <v>0</v>
      </c>
      <c r="HC102">
        <f t="shared" si="105"/>
        <v>0</v>
      </c>
      <c r="IK102">
        <v>0</v>
      </c>
    </row>
    <row r="103" spans="1:245" x14ac:dyDescent="0.2">
      <c r="A103">
        <v>18</v>
      </c>
      <c r="B103">
        <v>1</v>
      </c>
      <c r="C103">
        <v>145</v>
      </c>
      <c r="E103" t="s">
        <v>267</v>
      </c>
      <c r="F103" t="s">
        <v>268</v>
      </c>
      <c r="G103" t="s">
        <v>269</v>
      </c>
      <c r="H103" t="s">
        <v>190</v>
      </c>
      <c r="I103">
        <f>I102*J103</f>
        <v>120.36</v>
      </c>
      <c r="J103">
        <v>102</v>
      </c>
      <c r="O103">
        <f t="shared" si="71"/>
        <v>0</v>
      </c>
      <c r="P103">
        <f t="shared" si="72"/>
        <v>0</v>
      </c>
      <c r="Q103">
        <f t="shared" si="73"/>
        <v>0</v>
      </c>
      <c r="R103">
        <f t="shared" si="74"/>
        <v>0</v>
      </c>
      <c r="S103">
        <f t="shared" si="75"/>
        <v>0</v>
      </c>
      <c r="T103">
        <f t="shared" si="76"/>
        <v>0</v>
      </c>
      <c r="U103">
        <f t="shared" si="77"/>
        <v>0</v>
      </c>
      <c r="V103">
        <f t="shared" si="78"/>
        <v>0</v>
      </c>
      <c r="W103">
        <f t="shared" si="79"/>
        <v>0</v>
      </c>
      <c r="X103">
        <f t="shared" si="80"/>
        <v>0</v>
      </c>
      <c r="Y103">
        <f t="shared" si="81"/>
        <v>0</v>
      </c>
      <c r="AA103">
        <v>16808636</v>
      </c>
      <c r="AB103">
        <f t="shared" si="82"/>
        <v>0</v>
      </c>
      <c r="AC103">
        <f t="shared" si="83"/>
        <v>0</v>
      </c>
      <c r="AD103">
        <f>ROUND((((ET103)-(EU103))+AE103),2)</f>
        <v>0</v>
      </c>
      <c r="AE103">
        <f t="shared" ref="AE103:AF106" si="113">ROUND((EU103),2)</f>
        <v>0</v>
      </c>
      <c r="AF103">
        <f t="shared" si="113"/>
        <v>0</v>
      </c>
      <c r="AG103">
        <f t="shared" si="84"/>
        <v>0</v>
      </c>
      <c r="AH103">
        <f t="shared" ref="AH103:AI106" si="114">(EW103)</f>
        <v>0</v>
      </c>
      <c r="AI103">
        <f t="shared" si="114"/>
        <v>0</v>
      </c>
      <c r="AJ103">
        <f t="shared" si="85"/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111</v>
      </c>
      <c r="AU103">
        <v>64</v>
      </c>
      <c r="AV103">
        <v>1</v>
      </c>
      <c r="AW103">
        <v>1</v>
      </c>
      <c r="AZ103">
        <v>6.71</v>
      </c>
      <c r="BA103">
        <v>1</v>
      </c>
      <c r="BB103">
        <v>1</v>
      </c>
      <c r="BC103">
        <v>6.71</v>
      </c>
      <c r="BD103" t="s">
        <v>6</v>
      </c>
      <c r="BE103" t="s">
        <v>6</v>
      </c>
      <c r="BF103" t="s">
        <v>6</v>
      </c>
      <c r="BG103" t="s">
        <v>6</v>
      </c>
      <c r="BH103">
        <v>3</v>
      </c>
      <c r="BI103">
        <v>1</v>
      </c>
      <c r="BJ103" t="s">
        <v>6</v>
      </c>
      <c r="BM103">
        <v>11001</v>
      </c>
      <c r="BN103">
        <v>0</v>
      </c>
      <c r="BO103" t="s">
        <v>6</v>
      </c>
      <c r="BP103">
        <v>0</v>
      </c>
      <c r="BQ103">
        <v>2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</v>
      </c>
      <c r="BZ103">
        <v>123</v>
      </c>
      <c r="CA103">
        <v>75</v>
      </c>
      <c r="CE103">
        <v>0</v>
      </c>
      <c r="CF103">
        <v>0</v>
      </c>
      <c r="CG103">
        <v>0</v>
      </c>
      <c r="CM103">
        <v>0</v>
      </c>
      <c r="CN103" t="s">
        <v>6</v>
      </c>
      <c r="CO103">
        <v>0</v>
      </c>
      <c r="CP103">
        <f t="shared" si="86"/>
        <v>0</v>
      </c>
      <c r="CQ103">
        <f t="shared" si="87"/>
        <v>0</v>
      </c>
      <c r="CR103">
        <f t="shared" si="88"/>
        <v>0</v>
      </c>
      <c r="CS103">
        <f t="shared" si="89"/>
        <v>0</v>
      </c>
      <c r="CT103">
        <f t="shared" si="90"/>
        <v>0</v>
      </c>
      <c r="CU103">
        <f t="shared" si="91"/>
        <v>0</v>
      </c>
      <c r="CV103">
        <f t="shared" si="92"/>
        <v>0</v>
      </c>
      <c r="CW103">
        <f t="shared" si="93"/>
        <v>0</v>
      </c>
      <c r="CX103">
        <f t="shared" si="94"/>
        <v>0</v>
      </c>
      <c r="CY103">
        <f t="shared" si="95"/>
        <v>0</v>
      </c>
      <c r="CZ103">
        <f t="shared" si="96"/>
        <v>0</v>
      </c>
      <c r="DC103" t="s">
        <v>6</v>
      </c>
      <c r="DD103" t="s">
        <v>6</v>
      </c>
      <c r="DE103" t="s">
        <v>6</v>
      </c>
      <c r="DF103" t="s">
        <v>6</v>
      </c>
      <c r="DG103" t="s">
        <v>6</v>
      </c>
      <c r="DH103" t="s">
        <v>6</v>
      </c>
      <c r="DI103" t="s">
        <v>6</v>
      </c>
      <c r="DJ103" t="s">
        <v>6</v>
      </c>
      <c r="DK103" t="s">
        <v>6</v>
      </c>
      <c r="DL103" t="s">
        <v>6</v>
      </c>
      <c r="DM103" t="s">
        <v>6</v>
      </c>
      <c r="DN103">
        <v>0</v>
      </c>
      <c r="DO103">
        <v>0</v>
      </c>
      <c r="DP103">
        <v>1</v>
      </c>
      <c r="DQ103">
        <v>1</v>
      </c>
      <c r="DU103">
        <v>1005</v>
      </c>
      <c r="DV103" t="s">
        <v>190</v>
      </c>
      <c r="DW103" t="s">
        <v>190</v>
      </c>
      <c r="DX103">
        <v>1</v>
      </c>
      <c r="EE103">
        <v>16510488</v>
      </c>
      <c r="EF103">
        <v>2</v>
      </c>
      <c r="EG103" t="s">
        <v>20</v>
      </c>
      <c r="EH103">
        <v>0</v>
      </c>
      <c r="EI103" t="s">
        <v>6</v>
      </c>
      <c r="EJ103">
        <v>1</v>
      </c>
      <c r="EK103">
        <v>11001</v>
      </c>
      <c r="EL103" t="s">
        <v>75</v>
      </c>
      <c r="EM103" t="s">
        <v>83</v>
      </c>
      <c r="EO103" t="s">
        <v>6</v>
      </c>
      <c r="EQ103">
        <v>0</v>
      </c>
      <c r="ER103">
        <v>0</v>
      </c>
      <c r="ES103">
        <v>0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97"/>
        <v>0</v>
      </c>
      <c r="FS103">
        <v>0</v>
      </c>
      <c r="FT103" t="s">
        <v>23</v>
      </c>
      <c r="FU103" t="s">
        <v>24</v>
      </c>
      <c r="FX103">
        <v>110.7</v>
      </c>
      <c r="FY103">
        <v>63.75</v>
      </c>
      <c r="GA103" t="s">
        <v>6</v>
      </c>
      <c r="GD103">
        <v>0</v>
      </c>
      <c r="GF103">
        <v>-919469713</v>
      </c>
      <c r="GG103">
        <v>1</v>
      </c>
      <c r="GH103">
        <v>1</v>
      </c>
      <c r="GI103">
        <v>4</v>
      </c>
      <c r="GJ103">
        <v>0</v>
      </c>
      <c r="GK103">
        <f>ROUND(R103*(R12)/100,2)</f>
        <v>0</v>
      </c>
      <c r="GL103">
        <f t="shared" si="98"/>
        <v>0</v>
      </c>
      <c r="GM103">
        <f t="shared" si="99"/>
        <v>0</v>
      </c>
      <c r="GN103">
        <f t="shared" si="100"/>
        <v>0</v>
      </c>
      <c r="GO103">
        <f t="shared" si="101"/>
        <v>0</v>
      </c>
      <c r="GP103">
        <f t="shared" si="102"/>
        <v>0</v>
      </c>
      <c r="GR103">
        <v>0</v>
      </c>
      <c r="GS103">
        <v>3</v>
      </c>
      <c r="GT103">
        <v>0</v>
      </c>
      <c r="GU103" t="s">
        <v>6</v>
      </c>
      <c r="GV103">
        <f t="shared" si="103"/>
        <v>0</v>
      </c>
      <c r="GW103">
        <v>1</v>
      </c>
      <c r="GX103">
        <f t="shared" si="104"/>
        <v>0</v>
      </c>
      <c r="HA103">
        <v>0</v>
      </c>
      <c r="HB103">
        <v>0</v>
      </c>
      <c r="HC103">
        <f t="shared" si="105"/>
        <v>0</v>
      </c>
      <c r="IK103">
        <v>0</v>
      </c>
    </row>
    <row r="104" spans="1:245" x14ac:dyDescent="0.2">
      <c r="A104">
        <v>18</v>
      </c>
      <c r="B104">
        <v>1</v>
      </c>
      <c r="C104">
        <v>146</v>
      </c>
      <c r="E104" t="s">
        <v>270</v>
      </c>
      <c r="F104" t="s">
        <v>271</v>
      </c>
      <c r="G104" t="s">
        <v>272</v>
      </c>
      <c r="H104" t="s">
        <v>190</v>
      </c>
      <c r="I104">
        <f>I102*J104</f>
        <v>120.36</v>
      </c>
      <c r="J104">
        <v>102</v>
      </c>
      <c r="O104">
        <f t="shared" si="71"/>
        <v>242244.3</v>
      </c>
      <c r="P104">
        <f t="shared" si="72"/>
        <v>242244.3</v>
      </c>
      <c r="Q104">
        <f t="shared" si="73"/>
        <v>0</v>
      </c>
      <c r="R104">
        <f t="shared" si="74"/>
        <v>0</v>
      </c>
      <c r="S104">
        <f t="shared" si="75"/>
        <v>0</v>
      </c>
      <c r="T104">
        <f t="shared" si="76"/>
        <v>0</v>
      </c>
      <c r="U104">
        <f t="shared" si="77"/>
        <v>0</v>
      </c>
      <c r="V104">
        <f t="shared" si="78"/>
        <v>0</v>
      </c>
      <c r="W104">
        <f t="shared" si="79"/>
        <v>0</v>
      </c>
      <c r="X104">
        <f t="shared" si="80"/>
        <v>0</v>
      </c>
      <c r="Y104">
        <f t="shared" si="81"/>
        <v>0</v>
      </c>
      <c r="AA104">
        <v>16808636</v>
      </c>
      <c r="AB104">
        <f t="shared" si="82"/>
        <v>299.95</v>
      </c>
      <c r="AC104">
        <f t="shared" si="83"/>
        <v>299.95</v>
      </c>
      <c r="AD104">
        <f>ROUND((((ET104)-(EU104))+AE104),2)</f>
        <v>0</v>
      </c>
      <c r="AE104">
        <f t="shared" si="113"/>
        <v>0</v>
      </c>
      <c r="AF104">
        <f t="shared" si="113"/>
        <v>0</v>
      </c>
      <c r="AG104">
        <f t="shared" si="84"/>
        <v>0</v>
      </c>
      <c r="AH104">
        <f t="shared" si="114"/>
        <v>0</v>
      </c>
      <c r="AI104">
        <f t="shared" si="114"/>
        <v>0</v>
      </c>
      <c r="AJ104">
        <f t="shared" si="85"/>
        <v>0</v>
      </c>
      <c r="AK104">
        <v>299.95</v>
      </c>
      <c r="AL104">
        <v>299.95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111</v>
      </c>
      <c r="AU104">
        <v>64</v>
      </c>
      <c r="AV104">
        <v>1</v>
      </c>
      <c r="AW104">
        <v>1</v>
      </c>
      <c r="AZ104">
        <v>6.71</v>
      </c>
      <c r="BA104">
        <v>1</v>
      </c>
      <c r="BB104">
        <v>1</v>
      </c>
      <c r="BC104">
        <v>6.71</v>
      </c>
      <c r="BD104" t="s">
        <v>6</v>
      </c>
      <c r="BE104" t="s">
        <v>6</v>
      </c>
      <c r="BF104" t="s">
        <v>6</v>
      </c>
      <c r="BG104" t="s">
        <v>6</v>
      </c>
      <c r="BH104">
        <v>3</v>
      </c>
      <c r="BI104">
        <v>1</v>
      </c>
      <c r="BJ104" t="s">
        <v>273</v>
      </c>
      <c r="BM104">
        <v>11001</v>
      </c>
      <c r="BN104">
        <v>0</v>
      </c>
      <c r="BO104" t="s">
        <v>6</v>
      </c>
      <c r="BP104">
        <v>0</v>
      </c>
      <c r="BQ104">
        <v>2</v>
      </c>
      <c r="BR104">
        <v>0</v>
      </c>
      <c r="BS104">
        <v>1</v>
      </c>
      <c r="BT104">
        <v>1</v>
      </c>
      <c r="BU104">
        <v>1</v>
      </c>
      <c r="BV104">
        <v>1</v>
      </c>
      <c r="BW104">
        <v>1</v>
      </c>
      <c r="BX104">
        <v>1</v>
      </c>
      <c r="BY104" t="s">
        <v>6</v>
      </c>
      <c r="BZ104">
        <v>123</v>
      </c>
      <c r="CA104">
        <v>75</v>
      </c>
      <c r="CE104">
        <v>0</v>
      </c>
      <c r="CF104">
        <v>0</v>
      </c>
      <c r="CG104">
        <v>0</v>
      </c>
      <c r="CM104">
        <v>0</v>
      </c>
      <c r="CN104" t="s">
        <v>6</v>
      </c>
      <c r="CO104">
        <v>0</v>
      </c>
      <c r="CP104">
        <f t="shared" si="86"/>
        <v>242244.3</v>
      </c>
      <c r="CQ104">
        <f t="shared" si="87"/>
        <v>2012.6644999999999</v>
      </c>
      <c r="CR104">
        <f t="shared" si="88"/>
        <v>0</v>
      </c>
      <c r="CS104">
        <f t="shared" si="89"/>
        <v>0</v>
      </c>
      <c r="CT104">
        <f t="shared" si="90"/>
        <v>0</v>
      </c>
      <c r="CU104">
        <f t="shared" si="91"/>
        <v>0</v>
      </c>
      <c r="CV104">
        <f t="shared" si="92"/>
        <v>0</v>
      </c>
      <c r="CW104">
        <f t="shared" si="93"/>
        <v>0</v>
      </c>
      <c r="CX104">
        <f t="shared" si="94"/>
        <v>0</v>
      </c>
      <c r="CY104">
        <f t="shared" si="95"/>
        <v>0</v>
      </c>
      <c r="CZ104">
        <f t="shared" si="96"/>
        <v>0</v>
      </c>
      <c r="DC104" t="s">
        <v>6</v>
      </c>
      <c r="DD104" t="s">
        <v>6</v>
      </c>
      <c r="DE104" t="s">
        <v>6</v>
      </c>
      <c r="DF104" t="s">
        <v>6</v>
      </c>
      <c r="DG104" t="s">
        <v>6</v>
      </c>
      <c r="DH104" t="s">
        <v>6</v>
      </c>
      <c r="DI104" t="s">
        <v>6</v>
      </c>
      <c r="DJ104" t="s">
        <v>6</v>
      </c>
      <c r="DK104" t="s">
        <v>6</v>
      </c>
      <c r="DL104" t="s">
        <v>6</v>
      </c>
      <c r="DM104" t="s">
        <v>6</v>
      </c>
      <c r="DN104">
        <v>0</v>
      </c>
      <c r="DO104">
        <v>0</v>
      </c>
      <c r="DP104">
        <v>1</v>
      </c>
      <c r="DQ104">
        <v>1</v>
      </c>
      <c r="DU104">
        <v>1005</v>
      </c>
      <c r="DV104" t="s">
        <v>190</v>
      </c>
      <c r="DW104" t="s">
        <v>190</v>
      </c>
      <c r="DX104">
        <v>1</v>
      </c>
      <c r="EE104">
        <v>16510488</v>
      </c>
      <c r="EF104">
        <v>2</v>
      </c>
      <c r="EG104" t="s">
        <v>20</v>
      </c>
      <c r="EH104">
        <v>0</v>
      </c>
      <c r="EI104" t="s">
        <v>6</v>
      </c>
      <c r="EJ104">
        <v>1</v>
      </c>
      <c r="EK104">
        <v>11001</v>
      </c>
      <c r="EL104" t="s">
        <v>75</v>
      </c>
      <c r="EM104" t="s">
        <v>83</v>
      </c>
      <c r="EO104" t="s">
        <v>6</v>
      </c>
      <c r="EQ104">
        <v>0</v>
      </c>
      <c r="ER104">
        <v>299.95</v>
      </c>
      <c r="ES104">
        <v>299.95</v>
      </c>
      <c r="ET104">
        <v>0</v>
      </c>
      <c r="EU104">
        <v>0</v>
      </c>
      <c r="EV104">
        <v>0</v>
      </c>
      <c r="EW104">
        <v>0</v>
      </c>
      <c r="EX104">
        <v>0</v>
      </c>
      <c r="FQ104">
        <v>0</v>
      </c>
      <c r="FR104">
        <f t="shared" si="97"/>
        <v>0</v>
      </c>
      <c r="FS104">
        <v>0</v>
      </c>
      <c r="FT104" t="s">
        <v>23</v>
      </c>
      <c r="FU104" t="s">
        <v>24</v>
      </c>
      <c r="FX104">
        <v>110.7</v>
      </c>
      <c r="FY104">
        <v>63.75</v>
      </c>
      <c r="GA104" t="s">
        <v>6</v>
      </c>
      <c r="GD104">
        <v>0</v>
      </c>
      <c r="GF104">
        <v>2096096043</v>
      </c>
      <c r="GG104">
        <v>1</v>
      </c>
      <c r="GH104">
        <v>1</v>
      </c>
      <c r="GI104">
        <v>4</v>
      </c>
      <c r="GJ104">
        <v>0</v>
      </c>
      <c r="GK104">
        <f>ROUND(R104*(R12)/100,2)</f>
        <v>0</v>
      </c>
      <c r="GL104">
        <f t="shared" si="98"/>
        <v>0</v>
      </c>
      <c r="GM104">
        <f t="shared" si="99"/>
        <v>242244.3</v>
      </c>
      <c r="GN104">
        <f t="shared" si="100"/>
        <v>242244.3</v>
      </c>
      <c r="GO104">
        <f t="shared" si="101"/>
        <v>0</v>
      </c>
      <c r="GP104">
        <f t="shared" si="102"/>
        <v>0</v>
      </c>
      <c r="GR104">
        <v>0</v>
      </c>
      <c r="GS104">
        <v>3</v>
      </c>
      <c r="GT104">
        <v>0</v>
      </c>
      <c r="GU104" t="s">
        <v>6</v>
      </c>
      <c r="GV104">
        <f t="shared" si="103"/>
        <v>0</v>
      </c>
      <c r="GW104">
        <v>1</v>
      </c>
      <c r="GX104">
        <f t="shared" si="104"/>
        <v>0</v>
      </c>
      <c r="HA104">
        <v>0</v>
      </c>
      <c r="HB104">
        <v>0</v>
      </c>
      <c r="HC104">
        <f t="shared" si="105"/>
        <v>0</v>
      </c>
      <c r="IK104">
        <v>0</v>
      </c>
    </row>
    <row r="105" spans="1:245" x14ac:dyDescent="0.2">
      <c r="A105">
        <v>18</v>
      </c>
      <c r="B105">
        <v>1</v>
      </c>
      <c r="C105">
        <v>148</v>
      </c>
      <c r="E105" t="s">
        <v>274</v>
      </c>
      <c r="F105" t="s">
        <v>275</v>
      </c>
      <c r="G105" t="s">
        <v>276</v>
      </c>
      <c r="H105" t="s">
        <v>40</v>
      </c>
      <c r="I105">
        <f>I102*J105</f>
        <v>0.8024</v>
      </c>
      <c r="J105">
        <v>0.68</v>
      </c>
      <c r="O105">
        <f t="shared" si="71"/>
        <v>535.17999999999995</v>
      </c>
      <c r="P105">
        <f t="shared" si="72"/>
        <v>535.17999999999995</v>
      </c>
      <c r="Q105">
        <f t="shared" si="73"/>
        <v>0</v>
      </c>
      <c r="R105">
        <f t="shared" si="74"/>
        <v>0</v>
      </c>
      <c r="S105">
        <f t="shared" si="75"/>
        <v>0</v>
      </c>
      <c r="T105">
        <f t="shared" si="76"/>
        <v>0</v>
      </c>
      <c r="U105">
        <f t="shared" si="77"/>
        <v>0</v>
      </c>
      <c r="V105">
        <f t="shared" si="78"/>
        <v>0</v>
      </c>
      <c r="W105">
        <f t="shared" si="79"/>
        <v>0</v>
      </c>
      <c r="X105">
        <f t="shared" si="80"/>
        <v>0</v>
      </c>
      <c r="Y105">
        <f t="shared" si="81"/>
        <v>0</v>
      </c>
      <c r="AA105">
        <v>16808636</v>
      </c>
      <c r="AB105">
        <f t="shared" si="82"/>
        <v>99.4</v>
      </c>
      <c r="AC105">
        <f t="shared" si="83"/>
        <v>99.4</v>
      </c>
      <c r="AD105">
        <f>ROUND((((ET105)-(EU105))+AE105),2)</f>
        <v>0</v>
      </c>
      <c r="AE105">
        <f t="shared" si="113"/>
        <v>0</v>
      </c>
      <c r="AF105">
        <f t="shared" si="113"/>
        <v>0</v>
      </c>
      <c r="AG105">
        <f t="shared" si="84"/>
        <v>0</v>
      </c>
      <c r="AH105">
        <f t="shared" si="114"/>
        <v>0</v>
      </c>
      <c r="AI105">
        <f t="shared" si="114"/>
        <v>0</v>
      </c>
      <c r="AJ105">
        <f t="shared" si="85"/>
        <v>0</v>
      </c>
      <c r="AK105">
        <v>99.4</v>
      </c>
      <c r="AL105">
        <v>99.4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111</v>
      </c>
      <c r="AU105">
        <v>64</v>
      </c>
      <c r="AV105">
        <v>1</v>
      </c>
      <c r="AW105">
        <v>1</v>
      </c>
      <c r="AZ105">
        <v>6.71</v>
      </c>
      <c r="BA105">
        <v>1</v>
      </c>
      <c r="BB105">
        <v>1</v>
      </c>
      <c r="BC105">
        <v>6.71</v>
      </c>
      <c r="BD105" t="s">
        <v>6</v>
      </c>
      <c r="BE105" t="s">
        <v>6</v>
      </c>
      <c r="BF105" t="s">
        <v>6</v>
      </c>
      <c r="BG105" t="s">
        <v>6</v>
      </c>
      <c r="BH105">
        <v>3</v>
      </c>
      <c r="BI105">
        <v>1</v>
      </c>
      <c r="BJ105" t="s">
        <v>277</v>
      </c>
      <c r="BM105">
        <v>11001</v>
      </c>
      <c r="BN105">
        <v>0</v>
      </c>
      <c r="BO105" t="s">
        <v>6</v>
      </c>
      <c r="BP105">
        <v>0</v>
      </c>
      <c r="BQ105">
        <v>2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</v>
      </c>
      <c r="BZ105">
        <v>123</v>
      </c>
      <c r="CA105">
        <v>75</v>
      </c>
      <c r="CE105">
        <v>0</v>
      </c>
      <c r="CF105">
        <v>0</v>
      </c>
      <c r="CG105">
        <v>0</v>
      </c>
      <c r="CM105">
        <v>0</v>
      </c>
      <c r="CN105" t="s">
        <v>6</v>
      </c>
      <c r="CO105">
        <v>0</v>
      </c>
      <c r="CP105">
        <f t="shared" si="86"/>
        <v>535.17999999999995</v>
      </c>
      <c r="CQ105">
        <f t="shared" si="87"/>
        <v>666.97400000000005</v>
      </c>
      <c r="CR105">
        <f t="shared" si="88"/>
        <v>0</v>
      </c>
      <c r="CS105">
        <f t="shared" si="89"/>
        <v>0</v>
      </c>
      <c r="CT105">
        <f t="shared" si="90"/>
        <v>0</v>
      </c>
      <c r="CU105">
        <f t="shared" si="91"/>
        <v>0</v>
      </c>
      <c r="CV105">
        <f t="shared" si="92"/>
        <v>0</v>
      </c>
      <c r="CW105">
        <f t="shared" si="93"/>
        <v>0</v>
      </c>
      <c r="CX105">
        <f t="shared" si="94"/>
        <v>0</v>
      </c>
      <c r="CY105">
        <f t="shared" si="95"/>
        <v>0</v>
      </c>
      <c r="CZ105">
        <f t="shared" si="96"/>
        <v>0</v>
      </c>
      <c r="DC105" t="s">
        <v>6</v>
      </c>
      <c r="DD105" t="s">
        <v>6</v>
      </c>
      <c r="DE105" t="s">
        <v>6</v>
      </c>
      <c r="DF105" t="s">
        <v>6</v>
      </c>
      <c r="DG105" t="s">
        <v>6</v>
      </c>
      <c r="DH105" t="s">
        <v>6</v>
      </c>
      <c r="DI105" t="s">
        <v>6</v>
      </c>
      <c r="DJ105" t="s">
        <v>6</v>
      </c>
      <c r="DK105" t="s">
        <v>6</v>
      </c>
      <c r="DL105" t="s">
        <v>6</v>
      </c>
      <c r="DM105" t="s">
        <v>6</v>
      </c>
      <c r="DN105">
        <v>0</v>
      </c>
      <c r="DO105">
        <v>0</v>
      </c>
      <c r="DP105">
        <v>1</v>
      </c>
      <c r="DQ105">
        <v>1</v>
      </c>
      <c r="DU105">
        <v>1003</v>
      </c>
      <c r="DV105" t="s">
        <v>40</v>
      </c>
      <c r="DW105" t="s">
        <v>40</v>
      </c>
      <c r="DX105">
        <v>100</v>
      </c>
      <c r="EE105">
        <v>16510488</v>
      </c>
      <c r="EF105">
        <v>2</v>
      </c>
      <c r="EG105" t="s">
        <v>20</v>
      </c>
      <c r="EH105">
        <v>0</v>
      </c>
      <c r="EI105" t="s">
        <v>6</v>
      </c>
      <c r="EJ105">
        <v>1</v>
      </c>
      <c r="EK105">
        <v>11001</v>
      </c>
      <c r="EL105" t="s">
        <v>75</v>
      </c>
      <c r="EM105" t="s">
        <v>83</v>
      </c>
      <c r="EO105" t="s">
        <v>6</v>
      </c>
      <c r="EQ105">
        <v>0</v>
      </c>
      <c r="ER105">
        <v>99.4</v>
      </c>
      <c r="ES105">
        <v>99.4</v>
      </c>
      <c r="ET105">
        <v>0</v>
      </c>
      <c r="EU105">
        <v>0</v>
      </c>
      <c r="EV105">
        <v>0</v>
      </c>
      <c r="EW105">
        <v>0</v>
      </c>
      <c r="EX105">
        <v>0</v>
      </c>
      <c r="FQ105">
        <v>0</v>
      </c>
      <c r="FR105">
        <f t="shared" si="97"/>
        <v>0</v>
      </c>
      <c r="FS105">
        <v>0</v>
      </c>
      <c r="FT105" t="s">
        <v>23</v>
      </c>
      <c r="FU105" t="s">
        <v>24</v>
      </c>
      <c r="FX105">
        <v>110.7</v>
      </c>
      <c r="FY105">
        <v>63.75</v>
      </c>
      <c r="GA105" t="s">
        <v>6</v>
      </c>
      <c r="GD105">
        <v>0</v>
      </c>
      <c r="GF105">
        <v>-1119837873</v>
      </c>
      <c r="GG105">
        <v>1</v>
      </c>
      <c r="GH105">
        <v>1</v>
      </c>
      <c r="GI105">
        <v>4</v>
      </c>
      <c r="GJ105">
        <v>0</v>
      </c>
      <c r="GK105">
        <f>ROUND(R105*(R12)/100,2)</f>
        <v>0</v>
      </c>
      <c r="GL105">
        <f t="shared" si="98"/>
        <v>0</v>
      </c>
      <c r="GM105">
        <f t="shared" si="99"/>
        <v>535.17999999999995</v>
      </c>
      <c r="GN105">
        <f t="shared" si="100"/>
        <v>535.17999999999995</v>
      </c>
      <c r="GO105">
        <f t="shared" si="101"/>
        <v>0</v>
      </c>
      <c r="GP105">
        <f t="shared" si="102"/>
        <v>0</v>
      </c>
      <c r="GR105">
        <v>0</v>
      </c>
      <c r="GS105">
        <v>3</v>
      </c>
      <c r="GT105">
        <v>0</v>
      </c>
      <c r="GU105" t="s">
        <v>6</v>
      </c>
      <c r="GV105">
        <f t="shared" si="103"/>
        <v>0</v>
      </c>
      <c r="GW105">
        <v>1</v>
      </c>
      <c r="GX105">
        <f t="shared" si="104"/>
        <v>0</v>
      </c>
      <c r="HA105">
        <v>0</v>
      </c>
      <c r="HB105">
        <v>0</v>
      </c>
      <c r="HC105">
        <f t="shared" si="105"/>
        <v>0</v>
      </c>
      <c r="IK105">
        <v>0</v>
      </c>
    </row>
    <row r="106" spans="1:245" x14ac:dyDescent="0.2">
      <c r="A106">
        <v>18</v>
      </c>
      <c r="B106">
        <v>1</v>
      </c>
      <c r="C106">
        <v>147</v>
      </c>
      <c r="E106" t="s">
        <v>278</v>
      </c>
      <c r="F106" t="s">
        <v>279</v>
      </c>
      <c r="G106" t="s">
        <v>280</v>
      </c>
      <c r="H106" t="s">
        <v>40</v>
      </c>
      <c r="I106">
        <f>I102*J106</f>
        <v>0.8024</v>
      </c>
      <c r="J106">
        <v>0.68</v>
      </c>
      <c r="O106">
        <f t="shared" si="71"/>
        <v>0</v>
      </c>
      <c r="P106">
        <f t="shared" si="72"/>
        <v>0</v>
      </c>
      <c r="Q106">
        <f t="shared" si="73"/>
        <v>0</v>
      </c>
      <c r="R106">
        <f t="shared" si="74"/>
        <v>0</v>
      </c>
      <c r="S106">
        <f t="shared" si="75"/>
        <v>0</v>
      </c>
      <c r="T106">
        <f t="shared" si="76"/>
        <v>0</v>
      </c>
      <c r="U106">
        <f t="shared" si="77"/>
        <v>0</v>
      </c>
      <c r="V106">
        <f t="shared" si="78"/>
        <v>0</v>
      </c>
      <c r="W106">
        <f t="shared" si="79"/>
        <v>0</v>
      </c>
      <c r="X106">
        <f t="shared" si="80"/>
        <v>0</v>
      </c>
      <c r="Y106">
        <f t="shared" si="81"/>
        <v>0</v>
      </c>
      <c r="AA106">
        <v>16808636</v>
      </c>
      <c r="AB106">
        <f t="shared" si="82"/>
        <v>0</v>
      </c>
      <c r="AC106">
        <f t="shared" si="83"/>
        <v>0</v>
      </c>
      <c r="AD106">
        <f>ROUND((((ET106)-(EU106))+AE106),2)</f>
        <v>0</v>
      </c>
      <c r="AE106">
        <f t="shared" si="113"/>
        <v>0</v>
      </c>
      <c r="AF106">
        <f t="shared" si="113"/>
        <v>0</v>
      </c>
      <c r="AG106">
        <f t="shared" si="84"/>
        <v>0</v>
      </c>
      <c r="AH106">
        <f t="shared" si="114"/>
        <v>0</v>
      </c>
      <c r="AI106">
        <f t="shared" si="114"/>
        <v>0</v>
      </c>
      <c r="AJ106">
        <f t="shared" si="85"/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111</v>
      </c>
      <c r="AU106">
        <v>64</v>
      </c>
      <c r="AV106">
        <v>1</v>
      </c>
      <c r="AW106">
        <v>1</v>
      </c>
      <c r="AZ106">
        <v>6.71</v>
      </c>
      <c r="BA106">
        <v>1</v>
      </c>
      <c r="BB106">
        <v>1</v>
      </c>
      <c r="BC106">
        <v>6.71</v>
      </c>
      <c r="BD106" t="s">
        <v>6</v>
      </c>
      <c r="BE106" t="s">
        <v>6</v>
      </c>
      <c r="BF106" t="s">
        <v>6</v>
      </c>
      <c r="BG106" t="s">
        <v>6</v>
      </c>
      <c r="BH106">
        <v>3</v>
      </c>
      <c r="BI106">
        <v>1</v>
      </c>
      <c r="BJ106" t="s">
        <v>6</v>
      </c>
      <c r="BM106">
        <v>11001</v>
      </c>
      <c r="BN106">
        <v>0</v>
      </c>
      <c r="BO106" t="s">
        <v>6</v>
      </c>
      <c r="BP106">
        <v>0</v>
      </c>
      <c r="BQ106">
        <v>2</v>
      </c>
      <c r="BR106">
        <v>0</v>
      </c>
      <c r="BS106">
        <v>1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6</v>
      </c>
      <c r="BZ106">
        <v>123</v>
      </c>
      <c r="CA106">
        <v>75</v>
      </c>
      <c r="CE106">
        <v>0</v>
      </c>
      <c r="CF106">
        <v>0</v>
      </c>
      <c r="CG106">
        <v>0</v>
      </c>
      <c r="CM106">
        <v>0</v>
      </c>
      <c r="CN106" t="s">
        <v>6</v>
      </c>
      <c r="CO106">
        <v>0</v>
      </c>
      <c r="CP106">
        <f t="shared" si="86"/>
        <v>0</v>
      </c>
      <c r="CQ106">
        <f t="shared" si="87"/>
        <v>0</v>
      </c>
      <c r="CR106">
        <f t="shared" si="88"/>
        <v>0</v>
      </c>
      <c r="CS106">
        <f t="shared" si="89"/>
        <v>0</v>
      </c>
      <c r="CT106">
        <f t="shared" si="90"/>
        <v>0</v>
      </c>
      <c r="CU106">
        <f t="shared" si="91"/>
        <v>0</v>
      </c>
      <c r="CV106">
        <f t="shared" si="92"/>
        <v>0</v>
      </c>
      <c r="CW106">
        <f t="shared" si="93"/>
        <v>0</v>
      </c>
      <c r="CX106">
        <f t="shared" si="94"/>
        <v>0</v>
      </c>
      <c r="CY106">
        <f t="shared" si="95"/>
        <v>0</v>
      </c>
      <c r="CZ106">
        <f t="shared" si="96"/>
        <v>0</v>
      </c>
      <c r="DC106" t="s">
        <v>6</v>
      </c>
      <c r="DD106" t="s">
        <v>6</v>
      </c>
      <c r="DE106" t="s">
        <v>6</v>
      </c>
      <c r="DF106" t="s">
        <v>6</v>
      </c>
      <c r="DG106" t="s">
        <v>6</v>
      </c>
      <c r="DH106" t="s">
        <v>6</v>
      </c>
      <c r="DI106" t="s">
        <v>6</v>
      </c>
      <c r="DJ106" t="s">
        <v>6</v>
      </c>
      <c r="DK106" t="s">
        <v>6</v>
      </c>
      <c r="DL106" t="s">
        <v>6</v>
      </c>
      <c r="DM106" t="s">
        <v>6</v>
      </c>
      <c r="DN106">
        <v>0</v>
      </c>
      <c r="DO106">
        <v>0</v>
      </c>
      <c r="DP106">
        <v>1</v>
      </c>
      <c r="DQ106">
        <v>1</v>
      </c>
      <c r="DU106">
        <v>1003</v>
      </c>
      <c r="DV106" t="s">
        <v>40</v>
      </c>
      <c r="DW106" t="s">
        <v>40</v>
      </c>
      <c r="DX106">
        <v>100</v>
      </c>
      <c r="EE106">
        <v>16510488</v>
      </c>
      <c r="EF106">
        <v>2</v>
      </c>
      <c r="EG106" t="s">
        <v>20</v>
      </c>
      <c r="EH106">
        <v>0</v>
      </c>
      <c r="EI106" t="s">
        <v>6</v>
      </c>
      <c r="EJ106">
        <v>1</v>
      </c>
      <c r="EK106">
        <v>11001</v>
      </c>
      <c r="EL106" t="s">
        <v>75</v>
      </c>
      <c r="EM106" t="s">
        <v>83</v>
      </c>
      <c r="EO106" t="s">
        <v>6</v>
      </c>
      <c r="EQ106">
        <v>0</v>
      </c>
      <c r="ER106">
        <v>0</v>
      </c>
      <c r="ES106">
        <v>0</v>
      </c>
      <c r="ET106">
        <v>0</v>
      </c>
      <c r="EU106">
        <v>0</v>
      </c>
      <c r="EV106">
        <v>0</v>
      </c>
      <c r="EW106">
        <v>0</v>
      </c>
      <c r="EX106">
        <v>0</v>
      </c>
      <c r="FQ106">
        <v>0</v>
      </c>
      <c r="FR106">
        <f t="shared" si="97"/>
        <v>0</v>
      </c>
      <c r="FS106">
        <v>0</v>
      </c>
      <c r="FT106" t="s">
        <v>23</v>
      </c>
      <c r="FU106" t="s">
        <v>24</v>
      </c>
      <c r="FX106">
        <v>110.7</v>
      </c>
      <c r="FY106">
        <v>63.75</v>
      </c>
      <c r="GA106" t="s">
        <v>6</v>
      </c>
      <c r="GD106">
        <v>0</v>
      </c>
      <c r="GF106">
        <v>1552293167</v>
      </c>
      <c r="GG106">
        <v>1</v>
      </c>
      <c r="GH106">
        <v>1</v>
      </c>
      <c r="GI106">
        <v>4</v>
      </c>
      <c r="GJ106">
        <v>0</v>
      </c>
      <c r="GK106">
        <f>ROUND(R106*(R12)/100,2)</f>
        <v>0</v>
      </c>
      <c r="GL106">
        <f t="shared" si="98"/>
        <v>0</v>
      </c>
      <c r="GM106">
        <f t="shared" si="99"/>
        <v>0</v>
      </c>
      <c r="GN106">
        <f t="shared" si="100"/>
        <v>0</v>
      </c>
      <c r="GO106">
        <f t="shared" si="101"/>
        <v>0</v>
      </c>
      <c r="GP106">
        <f t="shared" si="102"/>
        <v>0</v>
      </c>
      <c r="GR106">
        <v>0</v>
      </c>
      <c r="GS106">
        <v>3</v>
      </c>
      <c r="GT106">
        <v>0</v>
      </c>
      <c r="GU106" t="s">
        <v>6</v>
      </c>
      <c r="GV106">
        <f t="shared" si="103"/>
        <v>0</v>
      </c>
      <c r="GW106">
        <v>1</v>
      </c>
      <c r="GX106">
        <f t="shared" si="104"/>
        <v>0</v>
      </c>
      <c r="HA106">
        <v>0</v>
      </c>
      <c r="HB106">
        <v>0</v>
      </c>
      <c r="HC106">
        <f t="shared" si="105"/>
        <v>0</v>
      </c>
      <c r="IK106">
        <v>0</v>
      </c>
    </row>
    <row r="107" spans="1:245" x14ac:dyDescent="0.2">
      <c r="A107">
        <v>17</v>
      </c>
      <c r="B107">
        <v>1</v>
      </c>
      <c r="C107">
        <f>ROW(SmtRes!A161)</f>
        <v>161</v>
      </c>
      <c r="D107">
        <f>ROW(EtalonRes!A158)</f>
        <v>158</v>
      </c>
      <c r="E107" t="s">
        <v>281</v>
      </c>
      <c r="F107" t="s">
        <v>282</v>
      </c>
      <c r="G107" t="s">
        <v>283</v>
      </c>
      <c r="H107" t="s">
        <v>18</v>
      </c>
      <c r="I107">
        <f>ROUND(48.3/100,9)</f>
        <v>0.48299999999999998</v>
      </c>
      <c r="J107">
        <v>0</v>
      </c>
      <c r="O107">
        <f t="shared" si="71"/>
        <v>30842.76</v>
      </c>
      <c r="P107">
        <f t="shared" si="72"/>
        <v>25470.14</v>
      </c>
      <c r="Q107">
        <f t="shared" si="73"/>
        <v>690.48</v>
      </c>
      <c r="R107">
        <f t="shared" si="74"/>
        <v>260.64</v>
      </c>
      <c r="S107">
        <f t="shared" si="75"/>
        <v>4682.1400000000003</v>
      </c>
      <c r="T107">
        <f t="shared" si="76"/>
        <v>0</v>
      </c>
      <c r="U107">
        <f t="shared" si="77"/>
        <v>79.838161199999988</v>
      </c>
      <c r="V107">
        <f t="shared" si="78"/>
        <v>3.2602500000000001</v>
      </c>
      <c r="W107">
        <f t="shared" si="79"/>
        <v>0</v>
      </c>
      <c r="X107">
        <f t="shared" si="80"/>
        <v>5486.49</v>
      </c>
      <c r="Y107">
        <f t="shared" si="81"/>
        <v>3163.38</v>
      </c>
      <c r="AA107">
        <v>16808636</v>
      </c>
      <c r="AB107">
        <f t="shared" si="82"/>
        <v>9516.64</v>
      </c>
      <c r="AC107">
        <f t="shared" si="83"/>
        <v>7858.9</v>
      </c>
      <c r="AD107">
        <f>ROUND((((((ET107*1.25)*1.2))-(((EU107*1.25)*1.2)))+AE107),2)</f>
        <v>213.05</v>
      </c>
      <c r="AE107">
        <f>ROUND((((EU107*1.25)*1.2)),2)</f>
        <v>80.42</v>
      </c>
      <c r="AF107">
        <f>ROUND((((EV107*1.15)*1.2)),2)</f>
        <v>1444.69</v>
      </c>
      <c r="AG107">
        <f t="shared" si="84"/>
        <v>0</v>
      </c>
      <c r="AH107">
        <f>(((EW107*1.15)*1.2))</f>
        <v>165.29639999999998</v>
      </c>
      <c r="AI107">
        <f>(((EX107*1.25)*1.2))</f>
        <v>6.75</v>
      </c>
      <c r="AJ107">
        <f t="shared" si="85"/>
        <v>0</v>
      </c>
      <c r="AK107">
        <v>9047.81</v>
      </c>
      <c r="AL107">
        <v>7858.9</v>
      </c>
      <c r="AM107">
        <v>142.03</v>
      </c>
      <c r="AN107">
        <v>53.61</v>
      </c>
      <c r="AO107">
        <v>1046.8800000000001</v>
      </c>
      <c r="AP107">
        <v>0</v>
      </c>
      <c r="AQ107">
        <v>119.78</v>
      </c>
      <c r="AR107">
        <v>4.5</v>
      </c>
      <c r="AS107">
        <v>0</v>
      </c>
      <c r="AT107">
        <v>111</v>
      </c>
      <c r="AU107">
        <v>64</v>
      </c>
      <c r="AV107">
        <v>1</v>
      </c>
      <c r="AW107">
        <v>1</v>
      </c>
      <c r="AZ107">
        <v>6.71</v>
      </c>
      <c r="BA107">
        <v>6.71</v>
      </c>
      <c r="BB107">
        <v>6.71</v>
      </c>
      <c r="BC107">
        <v>6.71</v>
      </c>
      <c r="BD107" t="s">
        <v>6</v>
      </c>
      <c r="BE107" t="s">
        <v>6</v>
      </c>
      <c r="BF107" t="s">
        <v>6</v>
      </c>
      <c r="BG107" t="s">
        <v>6</v>
      </c>
      <c r="BH107">
        <v>0</v>
      </c>
      <c r="BI107">
        <v>1</v>
      </c>
      <c r="BJ107" t="s">
        <v>284</v>
      </c>
      <c r="BM107">
        <v>11001</v>
      </c>
      <c r="BN107">
        <v>0</v>
      </c>
      <c r="BO107" t="s">
        <v>6</v>
      </c>
      <c r="BP107">
        <v>0</v>
      </c>
      <c r="BQ107">
        <v>2</v>
      </c>
      <c r="BR107">
        <v>0</v>
      </c>
      <c r="BS107">
        <v>6.71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6</v>
      </c>
      <c r="BZ107">
        <v>123</v>
      </c>
      <c r="CA107">
        <v>75</v>
      </c>
      <c r="CE107">
        <v>0</v>
      </c>
      <c r="CF107">
        <v>0</v>
      </c>
      <c r="CG107">
        <v>0</v>
      </c>
      <c r="CM107">
        <v>0</v>
      </c>
      <c r="CN107" t="s">
        <v>1057</v>
      </c>
      <c r="CO107">
        <v>0</v>
      </c>
      <c r="CP107">
        <f t="shared" si="86"/>
        <v>30842.76</v>
      </c>
      <c r="CQ107">
        <f t="shared" si="87"/>
        <v>52733.218999999997</v>
      </c>
      <c r="CR107">
        <f t="shared" si="88"/>
        <v>1429.5655000000002</v>
      </c>
      <c r="CS107">
        <f t="shared" si="89"/>
        <v>539.6182</v>
      </c>
      <c r="CT107">
        <f t="shared" si="90"/>
        <v>9693.8698999999997</v>
      </c>
      <c r="CU107">
        <f t="shared" si="91"/>
        <v>0</v>
      </c>
      <c r="CV107">
        <f t="shared" si="92"/>
        <v>165.29639999999998</v>
      </c>
      <c r="CW107">
        <f t="shared" si="93"/>
        <v>6.75</v>
      </c>
      <c r="CX107">
        <f t="shared" si="94"/>
        <v>0</v>
      </c>
      <c r="CY107">
        <f t="shared" si="95"/>
        <v>5486.4858000000004</v>
      </c>
      <c r="CZ107">
        <f t="shared" si="96"/>
        <v>3163.3792000000003</v>
      </c>
      <c r="DC107" t="s">
        <v>6</v>
      </c>
      <c r="DD107" t="s">
        <v>6</v>
      </c>
      <c r="DE107" t="s">
        <v>174</v>
      </c>
      <c r="DF107" t="s">
        <v>174</v>
      </c>
      <c r="DG107" t="s">
        <v>175</v>
      </c>
      <c r="DH107" t="s">
        <v>6</v>
      </c>
      <c r="DI107" t="s">
        <v>175</v>
      </c>
      <c r="DJ107" t="s">
        <v>174</v>
      </c>
      <c r="DK107" t="s">
        <v>6</v>
      </c>
      <c r="DL107" t="s">
        <v>6</v>
      </c>
      <c r="DM107" t="s">
        <v>6</v>
      </c>
      <c r="DN107">
        <v>0</v>
      </c>
      <c r="DO107">
        <v>0</v>
      </c>
      <c r="DP107">
        <v>1</v>
      </c>
      <c r="DQ107">
        <v>1</v>
      </c>
      <c r="DU107">
        <v>1005</v>
      </c>
      <c r="DV107" t="s">
        <v>18</v>
      </c>
      <c r="DW107" t="s">
        <v>18</v>
      </c>
      <c r="DX107">
        <v>100</v>
      </c>
      <c r="EE107">
        <v>16510488</v>
      </c>
      <c r="EF107">
        <v>2</v>
      </c>
      <c r="EG107" t="s">
        <v>20</v>
      </c>
      <c r="EH107">
        <v>0</v>
      </c>
      <c r="EI107" t="s">
        <v>6</v>
      </c>
      <c r="EJ107">
        <v>1</v>
      </c>
      <c r="EK107">
        <v>11001</v>
      </c>
      <c r="EL107" t="s">
        <v>75</v>
      </c>
      <c r="EM107" t="s">
        <v>83</v>
      </c>
      <c r="EO107" t="s">
        <v>178</v>
      </c>
      <c r="EQ107">
        <v>0</v>
      </c>
      <c r="ER107">
        <v>9047.81</v>
      </c>
      <c r="ES107">
        <v>7858.9</v>
      </c>
      <c r="ET107">
        <v>142.03</v>
      </c>
      <c r="EU107">
        <v>53.61</v>
      </c>
      <c r="EV107">
        <v>1046.8800000000001</v>
      </c>
      <c r="EW107">
        <v>119.78</v>
      </c>
      <c r="EX107">
        <v>4.5</v>
      </c>
      <c r="EY107">
        <v>0</v>
      </c>
      <c r="FQ107">
        <v>0</v>
      </c>
      <c r="FR107">
        <f t="shared" si="97"/>
        <v>0</v>
      </c>
      <c r="FS107">
        <v>0</v>
      </c>
      <c r="FT107" t="s">
        <v>23</v>
      </c>
      <c r="FU107" t="s">
        <v>24</v>
      </c>
      <c r="FX107">
        <v>110.7</v>
      </c>
      <c r="FY107">
        <v>63.75</v>
      </c>
      <c r="GA107" t="s">
        <v>6</v>
      </c>
      <c r="GD107">
        <v>0</v>
      </c>
      <c r="GF107">
        <v>-1877248367</v>
      </c>
      <c r="GG107">
        <v>1</v>
      </c>
      <c r="GH107">
        <v>1</v>
      </c>
      <c r="GI107">
        <v>4</v>
      </c>
      <c r="GJ107">
        <v>0</v>
      </c>
      <c r="GK107">
        <f>ROUND(R107*(R12)/100,2)</f>
        <v>0</v>
      </c>
      <c r="GL107">
        <f t="shared" si="98"/>
        <v>0</v>
      </c>
      <c r="GM107">
        <f t="shared" si="99"/>
        <v>39492.629999999997</v>
      </c>
      <c r="GN107">
        <f t="shared" si="100"/>
        <v>39492.629999999997</v>
      </c>
      <c r="GO107">
        <f t="shared" si="101"/>
        <v>0</v>
      </c>
      <c r="GP107">
        <f t="shared" si="102"/>
        <v>0</v>
      </c>
      <c r="GR107">
        <v>0</v>
      </c>
      <c r="GS107">
        <v>3</v>
      </c>
      <c r="GT107">
        <v>0</v>
      </c>
      <c r="GU107" t="s">
        <v>6</v>
      </c>
      <c r="GV107">
        <f t="shared" si="103"/>
        <v>0</v>
      </c>
      <c r="GW107">
        <v>1</v>
      </c>
      <c r="GX107">
        <f t="shared" si="104"/>
        <v>0</v>
      </c>
      <c r="HA107">
        <v>0</v>
      </c>
      <c r="HB107">
        <v>0</v>
      </c>
      <c r="HC107">
        <f t="shared" si="105"/>
        <v>0</v>
      </c>
      <c r="IK107">
        <v>0</v>
      </c>
    </row>
    <row r="108" spans="1:245" x14ac:dyDescent="0.2">
      <c r="A108">
        <v>18</v>
      </c>
      <c r="B108">
        <v>1</v>
      </c>
      <c r="C108">
        <v>158</v>
      </c>
      <c r="E108" t="s">
        <v>285</v>
      </c>
      <c r="F108" t="s">
        <v>286</v>
      </c>
      <c r="G108" t="s">
        <v>287</v>
      </c>
      <c r="H108" t="s">
        <v>190</v>
      </c>
      <c r="I108">
        <f>I107*J108</f>
        <v>-49.265999999999998</v>
      </c>
      <c r="J108">
        <v>-102</v>
      </c>
      <c r="O108">
        <f t="shared" si="71"/>
        <v>-22412.98</v>
      </c>
      <c r="P108">
        <f t="shared" si="72"/>
        <v>-22412.98</v>
      </c>
      <c r="Q108">
        <f t="shared" si="73"/>
        <v>0</v>
      </c>
      <c r="R108">
        <f t="shared" si="74"/>
        <v>0</v>
      </c>
      <c r="S108">
        <f t="shared" si="75"/>
        <v>0</v>
      </c>
      <c r="T108">
        <f t="shared" si="76"/>
        <v>0</v>
      </c>
      <c r="U108">
        <f t="shared" si="77"/>
        <v>0</v>
      </c>
      <c r="V108">
        <f t="shared" si="78"/>
        <v>0</v>
      </c>
      <c r="W108">
        <f t="shared" si="79"/>
        <v>0</v>
      </c>
      <c r="X108">
        <f t="shared" si="80"/>
        <v>0</v>
      </c>
      <c r="Y108">
        <f t="shared" si="81"/>
        <v>0</v>
      </c>
      <c r="AA108">
        <v>16808636</v>
      </c>
      <c r="AB108">
        <f t="shared" si="82"/>
        <v>67.8</v>
      </c>
      <c r="AC108">
        <f t="shared" si="83"/>
        <v>67.8</v>
      </c>
      <c r="AD108">
        <f>ROUND((((ET108)-(EU108))+AE108),2)</f>
        <v>0</v>
      </c>
      <c r="AE108">
        <f t="shared" ref="AE108:AF111" si="115">ROUND((EU108),2)</f>
        <v>0</v>
      </c>
      <c r="AF108">
        <f t="shared" si="115"/>
        <v>0</v>
      </c>
      <c r="AG108">
        <f t="shared" si="84"/>
        <v>0</v>
      </c>
      <c r="AH108">
        <f t="shared" ref="AH108:AI111" si="116">(EW108)</f>
        <v>0</v>
      </c>
      <c r="AI108">
        <f t="shared" si="116"/>
        <v>0</v>
      </c>
      <c r="AJ108">
        <f t="shared" si="85"/>
        <v>0</v>
      </c>
      <c r="AK108">
        <v>67.8</v>
      </c>
      <c r="AL108">
        <v>67.8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111</v>
      </c>
      <c r="AU108">
        <v>64</v>
      </c>
      <c r="AV108">
        <v>1</v>
      </c>
      <c r="AW108">
        <v>1</v>
      </c>
      <c r="AZ108">
        <v>6.71</v>
      </c>
      <c r="BA108">
        <v>1</v>
      </c>
      <c r="BB108">
        <v>1</v>
      </c>
      <c r="BC108">
        <v>6.71</v>
      </c>
      <c r="BD108" t="s">
        <v>6</v>
      </c>
      <c r="BE108" t="s">
        <v>6</v>
      </c>
      <c r="BF108" t="s">
        <v>6</v>
      </c>
      <c r="BG108" t="s">
        <v>6</v>
      </c>
      <c r="BH108">
        <v>3</v>
      </c>
      <c r="BI108">
        <v>1</v>
      </c>
      <c r="BJ108" t="s">
        <v>288</v>
      </c>
      <c r="BM108">
        <v>11001</v>
      </c>
      <c r="BN108">
        <v>0</v>
      </c>
      <c r="BO108" t="s">
        <v>6</v>
      </c>
      <c r="BP108">
        <v>0</v>
      </c>
      <c r="BQ108">
        <v>2</v>
      </c>
      <c r="BR108">
        <v>1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 t="s">
        <v>6</v>
      </c>
      <c r="BZ108">
        <v>123</v>
      </c>
      <c r="CA108">
        <v>75</v>
      </c>
      <c r="CE108">
        <v>0</v>
      </c>
      <c r="CF108">
        <v>0</v>
      </c>
      <c r="CG108">
        <v>0</v>
      </c>
      <c r="CM108">
        <v>0</v>
      </c>
      <c r="CN108" t="s">
        <v>6</v>
      </c>
      <c r="CO108">
        <v>0</v>
      </c>
      <c r="CP108">
        <f t="shared" si="86"/>
        <v>-22412.98</v>
      </c>
      <c r="CQ108">
        <f t="shared" si="87"/>
        <v>454.93799999999999</v>
      </c>
      <c r="CR108">
        <f t="shared" si="88"/>
        <v>0</v>
      </c>
      <c r="CS108">
        <f t="shared" si="89"/>
        <v>0</v>
      </c>
      <c r="CT108">
        <f t="shared" si="90"/>
        <v>0</v>
      </c>
      <c r="CU108">
        <f t="shared" si="91"/>
        <v>0</v>
      </c>
      <c r="CV108">
        <f t="shared" si="92"/>
        <v>0</v>
      </c>
      <c r="CW108">
        <f t="shared" si="93"/>
        <v>0</v>
      </c>
      <c r="CX108">
        <f t="shared" si="94"/>
        <v>0</v>
      </c>
      <c r="CY108">
        <f t="shared" si="95"/>
        <v>0</v>
      </c>
      <c r="CZ108">
        <f t="shared" si="96"/>
        <v>0</v>
      </c>
      <c r="DC108" t="s">
        <v>6</v>
      </c>
      <c r="DD108" t="s">
        <v>6</v>
      </c>
      <c r="DE108" t="s">
        <v>6</v>
      </c>
      <c r="DF108" t="s">
        <v>6</v>
      </c>
      <c r="DG108" t="s">
        <v>6</v>
      </c>
      <c r="DH108" t="s">
        <v>6</v>
      </c>
      <c r="DI108" t="s">
        <v>6</v>
      </c>
      <c r="DJ108" t="s">
        <v>6</v>
      </c>
      <c r="DK108" t="s">
        <v>6</v>
      </c>
      <c r="DL108" t="s">
        <v>6</v>
      </c>
      <c r="DM108" t="s">
        <v>6</v>
      </c>
      <c r="DN108">
        <v>0</v>
      </c>
      <c r="DO108">
        <v>0</v>
      </c>
      <c r="DP108">
        <v>1</v>
      </c>
      <c r="DQ108">
        <v>1</v>
      </c>
      <c r="DU108">
        <v>1005</v>
      </c>
      <c r="DV108" t="s">
        <v>190</v>
      </c>
      <c r="DW108" t="s">
        <v>190</v>
      </c>
      <c r="DX108">
        <v>1</v>
      </c>
      <c r="EE108">
        <v>16510488</v>
      </c>
      <c r="EF108">
        <v>2</v>
      </c>
      <c r="EG108" t="s">
        <v>20</v>
      </c>
      <c r="EH108">
        <v>0</v>
      </c>
      <c r="EI108" t="s">
        <v>6</v>
      </c>
      <c r="EJ108">
        <v>1</v>
      </c>
      <c r="EK108">
        <v>11001</v>
      </c>
      <c r="EL108" t="s">
        <v>75</v>
      </c>
      <c r="EM108" t="s">
        <v>83</v>
      </c>
      <c r="EO108" t="s">
        <v>6</v>
      </c>
      <c r="EQ108">
        <v>0</v>
      </c>
      <c r="ER108">
        <v>67.8</v>
      </c>
      <c r="ES108">
        <v>67.8</v>
      </c>
      <c r="ET108">
        <v>0</v>
      </c>
      <c r="EU108">
        <v>0</v>
      </c>
      <c r="EV108">
        <v>0</v>
      </c>
      <c r="EW108">
        <v>0</v>
      </c>
      <c r="EX108">
        <v>0</v>
      </c>
      <c r="FQ108">
        <v>0</v>
      </c>
      <c r="FR108">
        <f t="shared" si="97"/>
        <v>0</v>
      </c>
      <c r="FS108">
        <v>0</v>
      </c>
      <c r="FT108" t="s">
        <v>23</v>
      </c>
      <c r="FU108" t="s">
        <v>24</v>
      </c>
      <c r="FX108">
        <v>110.7</v>
      </c>
      <c r="FY108">
        <v>63.75</v>
      </c>
      <c r="GA108" t="s">
        <v>6</v>
      </c>
      <c r="GD108">
        <v>0</v>
      </c>
      <c r="GF108">
        <v>380867059</v>
      </c>
      <c r="GG108">
        <v>1</v>
      </c>
      <c r="GH108">
        <v>1</v>
      </c>
      <c r="GI108">
        <v>4</v>
      </c>
      <c r="GJ108">
        <v>0</v>
      </c>
      <c r="GK108">
        <f>ROUND(R108*(R12)/100,2)</f>
        <v>0</v>
      </c>
      <c r="GL108">
        <f t="shared" si="98"/>
        <v>0</v>
      </c>
      <c r="GM108">
        <f t="shared" si="99"/>
        <v>-22412.98</v>
      </c>
      <c r="GN108">
        <f t="shared" si="100"/>
        <v>-22412.98</v>
      </c>
      <c r="GO108">
        <f t="shared" si="101"/>
        <v>0</v>
      </c>
      <c r="GP108">
        <f t="shared" si="102"/>
        <v>0</v>
      </c>
      <c r="GR108">
        <v>0</v>
      </c>
      <c r="GS108">
        <v>3</v>
      </c>
      <c r="GT108">
        <v>0</v>
      </c>
      <c r="GU108" t="s">
        <v>6</v>
      </c>
      <c r="GV108">
        <f t="shared" si="103"/>
        <v>0</v>
      </c>
      <c r="GW108">
        <v>1</v>
      </c>
      <c r="GX108">
        <f t="shared" si="104"/>
        <v>0</v>
      </c>
      <c r="HA108">
        <v>0</v>
      </c>
      <c r="HB108">
        <v>0</v>
      </c>
      <c r="HC108">
        <f t="shared" si="105"/>
        <v>0</v>
      </c>
      <c r="IK108">
        <v>0</v>
      </c>
    </row>
    <row r="109" spans="1:245" x14ac:dyDescent="0.2">
      <c r="A109">
        <v>18</v>
      </c>
      <c r="B109">
        <v>1</v>
      </c>
      <c r="C109">
        <v>159</v>
      </c>
      <c r="E109" t="s">
        <v>289</v>
      </c>
      <c r="F109" t="s">
        <v>290</v>
      </c>
      <c r="G109" t="s">
        <v>291</v>
      </c>
      <c r="H109" t="s">
        <v>190</v>
      </c>
      <c r="I109">
        <f>I107*J109</f>
        <v>49.265999999999998</v>
      </c>
      <c r="J109">
        <v>102</v>
      </c>
      <c r="O109">
        <f t="shared" si="71"/>
        <v>47460.63</v>
      </c>
      <c r="P109">
        <f t="shared" si="72"/>
        <v>47460.63</v>
      </c>
      <c r="Q109">
        <f t="shared" si="73"/>
        <v>0</v>
      </c>
      <c r="R109">
        <f t="shared" si="74"/>
        <v>0</v>
      </c>
      <c r="S109">
        <f t="shared" si="75"/>
        <v>0</v>
      </c>
      <c r="T109">
        <f t="shared" si="76"/>
        <v>0</v>
      </c>
      <c r="U109">
        <f t="shared" si="77"/>
        <v>0</v>
      </c>
      <c r="V109">
        <f t="shared" si="78"/>
        <v>0</v>
      </c>
      <c r="W109">
        <f t="shared" si="79"/>
        <v>0</v>
      </c>
      <c r="X109">
        <f t="shared" si="80"/>
        <v>0</v>
      </c>
      <c r="Y109">
        <f t="shared" si="81"/>
        <v>0</v>
      </c>
      <c r="AA109">
        <v>16808636</v>
      </c>
      <c r="AB109">
        <f t="shared" si="82"/>
        <v>143.57</v>
      </c>
      <c r="AC109">
        <f t="shared" si="83"/>
        <v>143.57</v>
      </c>
      <c r="AD109">
        <f>ROUND((((ET109)-(EU109))+AE109),2)</f>
        <v>0</v>
      </c>
      <c r="AE109">
        <f t="shared" si="115"/>
        <v>0</v>
      </c>
      <c r="AF109">
        <f t="shared" si="115"/>
        <v>0</v>
      </c>
      <c r="AG109">
        <f t="shared" si="84"/>
        <v>0</v>
      </c>
      <c r="AH109">
        <f t="shared" si="116"/>
        <v>0</v>
      </c>
      <c r="AI109">
        <f t="shared" si="116"/>
        <v>0</v>
      </c>
      <c r="AJ109">
        <f t="shared" si="85"/>
        <v>0</v>
      </c>
      <c r="AK109">
        <v>143.57</v>
      </c>
      <c r="AL109">
        <v>143.57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111</v>
      </c>
      <c r="AU109">
        <v>64</v>
      </c>
      <c r="AV109">
        <v>1</v>
      </c>
      <c r="AW109">
        <v>1</v>
      </c>
      <c r="AZ109">
        <v>6.71</v>
      </c>
      <c r="BA109">
        <v>1</v>
      </c>
      <c r="BB109">
        <v>1</v>
      </c>
      <c r="BC109">
        <v>6.71</v>
      </c>
      <c r="BD109" t="s">
        <v>6</v>
      </c>
      <c r="BE109" t="s">
        <v>6</v>
      </c>
      <c r="BF109" t="s">
        <v>6</v>
      </c>
      <c r="BG109" t="s">
        <v>6</v>
      </c>
      <c r="BH109">
        <v>3</v>
      </c>
      <c r="BI109">
        <v>1</v>
      </c>
      <c r="BJ109" t="s">
        <v>292</v>
      </c>
      <c r="BM109">
        <v>11001</v>
      </c>
      <c r="BN109">
        <v>0</v>
      </c>
      <c r="BO109" t="s">
        <v>6</v>
      </c>
      <c r="BP109">
        <v>0</v>
      </c>
      <c r="BQ109">
        <v>2</v>
      </c>
      <c r="BR109">
        <v>0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6</v>
      </c>
      <c r="BZ109">
        <v>123</v>
      </c>
      <c r="CA109">
        <v>75</v>
      </c>
      <c r="CE109">
        <v>0</v>
      </c>
      <c r="CF109">
        <v>0</v>
      </c>
      <c r="CG109">
        <v>0</v>
      </c>
      <c r="CM109">
        <v>0</v>
      </c>
      <c r="CN109" t="s">
        <v>6</v>
      </c>
      <c r="CO109">
        <v>0</v>
      </c>
      <c r="CP109">
        <f t="shared" si="86"/>
        <v>47460.63</v>
      </c>
      <c r="CQ109">
        <f t="shared" si="87"/>
        <v>963.35469999999998</v>
      </c>
      <c r="CR109">
        <f t="shared" si="88"/>
        <v>0</v>
      </c>
      <c r="CS109">
        <f t="shared" si="89"/>
        <v>0</v>
      </c>
      <c r="CT109">
        <f t="shared" si="90"/>
        <v>0</v>
      </c>
      <c r="CU109">
        <f t="shared" si="91"/>
        <v>0</v>
      </c>
      <c r="CV109">
        <f t="shared" si="92"/>
        <v>0</v>
      </c>
      <c r="CW109">
        <f t="shared" si="93"/>
        <v>0</v>
      </c>
      <c r="CX109">
        <f t="shared" si="94"/>
        <v>0</v>
      </c>
      <c r="CY109">
        <f t="shared" si="95"/>
        <v>0</v>
      </c>
      <c r="CZ109">
        <f t="shared" si="96"/>
        <v>0</v>
      </c>
      <c r="DC109" t="s">
        <v>6</v>
      </c>
      <c r="DD109" t="s">
        <v>6</v>
      </c>
      <c r="DE109" t="s">
        <v>6</v>
      </c>
      <c r="DF109" t="s">
        <v>6</v>
      </c>
      <c r="DG109" t="s">
        <v>6</v>
      </c>
      <c r="DH109" t="s">
        <v>6</v>
      </c>
      <c r="DI109" t="s">
        <v>6</v>
      </c>
      <c r="DJ109" t="s">
        <v>6</v>
      </c>
      <c r="DK109" t="s">
        <v>6</v>
      </c>
      <c r="DL109" t="s">
        <v>6</v>
      </c>
      <c r="DM109" t="s">
        <v>6</v>
      </c>
      <c r="DN109">
        <v>0</v>
      </c>
      <c r="DO109">
        <v>0</v>
      </c>
      <c r="DP109">
        <v>1</v>
      </c>
      <c r="DQ109">
        <v>1</v>
      </c>
      <c r="DU109">
        <v>1005</v>
      </c>
      <c r="DV109" t="s">
        <v>190</v>
      </c>
      <c r="DW109" t="s">
        <v>190</v>
      </c>
      <c r="DX109">
        <v>1</v>
      </c>
      <c r="EE109">
        <v>16510488</v>
      </c>
      <c r="EF109">
        <v>2</v>
      </c>
      <c r="EG109" t="s">
        <v>20</v>
      </c>
      <c r="EH109">
        <v>0</v>
      </c>
      <c r="EI109" t="s">
        <v>6</v>
      </c>
      <c r="EJ109">
        <v>1</v>
      </c>
      <c r="EK109">
        <v>11001</v>
      </c>
      <c r="EL109" t="s">
        <v>75</v>
      </c>
      <c r="EM109" t="s">
        <v>83</v>
      </c>
      <c r="EO109" t="s">
        <v>6</v>
      </c>
      <c r="EQ109">
        <v>0</v>
      </c>
      <c r="ER109">
        <v>143.57</v>
      </c>
      <c r="ES109">
        <v>143.57</v>
      </c>
      <c r="ET109">
        <v>0</v>
      </c>
      <c r="EU109">
        <v>0</v>
      </c>
      <c r="EV109">
        <v>0</v>
      </c>
      <c r="EW109">
        <v>0</v>
      </c>
      <c r="EX109">
        <v>0</v>
      </c>
      <c r="FQ109">
        <v>0</v>
      </c>
      <c r="FR109">
        <f t="shared" si="97"/>
        <v>0</v>
      </c>
      <c r="FS109">
        <v>0</v>
      </c>
      <c r="FT109" t="s">
        <v>23</v>
      </c>
      <c r="FU109" t="s">
        <v>24</v>
      </c>
      <c r="FX109">
        <v>110.7</v>
      </c>
      <c r="FY109">
        <v>63.75</v>
      </c>
      <c r="GA109" t="s">
        <v>6</v>
      </c>
      <c r="GD109">
        <v>0</v>
      </c>
      <c r="GF109">
        <v>2101539550</v>
      </c>
      <c r="GG109">
        <v>1</v>
      </c>
      <c r="GH109">
        <v>1</v>
      </c>
      <c r="GI109">
        <v>4</v>
      </c>
      <c r="GJ109">
        <v>0</v>
      </c>
      <c r="GK109">
        <f>ROUND(R109*(R12)/100,2)</f>
        <v>0</v>
      </c>
      <c r="GL109">
        <f t="shared" si="98"/>
        <v>0</v>
      </c>
      <c r="GM109">
        <f t="shared" si="99"/>
        <v>47460.63</v>
      </c>
      <c r="GN109">
        <f t="shared" si="100"/>
        <v>47460.63</v>
      </c>
      <c r="GO109">
        <f t="shared" si="101"/>
        <v>0</v>
      </c>
      <c r="GP109">
        <f t="shared" si="102"/>
        <v>0</v>
      </c>
      <c r="GR109">
        <v>0</v>
      </c>
      <c r="GS109">
        <v>3</v>
      </c>
      <c r="GT109">
        <v>0</v>
      </c>
      <c r="GU109" t="s">
        <v>6</v>
      </c>
      <c r="GV109">
        <f t="shared" si="103"/>
        <v>0</v>
      </c>
      <c r="GW109">
        <v>1</v>
      </c>
      <c r="GX109">
        <f t="shared" si="104"/>
        <v>0</v>
      </c>
      <c r="HA109">
        <v>0</v>
      </c>
      <c r="HB109">
        <v>0</v>
      </c>
      <c r="HC109">
        <f t="shared" si="105"/>
        <v>0</v>
      </c>
      <c r="IK109">
        <v>0</v>
      </c>
    </row>
    <row r="110" spans="1:245" x14ac:dyDescent="0.2">
      <c r="A110">
        <v>18</v>
      </c>
      <c r="B110">
        <v>1</v>
      </c>
      <c r="C110">
        <v>160</v>
      </c>
      <c r="E110" t="s">
        <v>293</v>
      </c>
      <c r="F110" t="s">
        <v>294</v>
      </c>
      <c r="G110" t="s">
        <v>295</v>
      </c>
      <c r="H110" t="s">
        <v>104</v>
      </c>
      <c r="I110">
        <f>I107*J110</f>
        <v>0.21734999999999999</v>
      </c>
      <c r="J110">
        <v>0.45</v>
      </c>
      <c r="O110">
        <f t="shared" si="71"/>
        <v>10705.62</v>
      </c>
      <c r="P110">
        <f t="shared" si="72"/>
        <v>10705.62</v>
      </c>
      <c r="Q110">
        <f t="shared" si="73"/>
        <v>0</v>
      </c>
      <c r="R110">
        <f t="shared" si="74"/>
        <v>0</v>
      </c>
      <c r="S110">
        <f t="shared" si="75"/>
        <v>0</v>
      </c>
      <c r="T110">
        <f t="shared" si="76"/>
        <v>0</v>
      </c>
      <c r="U110">
        <f t="shared" si="77"/>
        <v>0</v>
      </c>
      <c r="V110">
        <f t="shared" si="78"/>
        <v>0</v>
      </c>
      <c r="W110">
        <f t="shared" si="79"/>
        <v>0</v>
      </c>
      <c r="X110">
        <f t="shared" si="80"/>
        <v>0</v>
      </c>
      <c r="Y110">
        <f t="shared" si="81"/>
        <v>0</v>
      </c>
      <c r="AA110">
        <v>16808636</v>
      </c>
      <c r="AB110">
        <f t="shared" si="82"/>
        <v>7340.57</v>
      </c>
      <c r="AC110">
        <f t="shared" si="83"/>
        <v>7340.57</v>
      </c>
      <c r="AD110">
        <f>ROUND((((ET110)-(EU110))+AE110),2)</f>
        <v>0</v>
      </c>
      <c r="AE110">
        <f t="shared" si="115"/>
        <v>0</v>
      </c>
      <c r="AF110">
        <f t="shared" si="115"/>
        <v>0</v>
      </c>
      <c r="AG110">
        <f t="shared" si="84"/>
        <v>0</v>
      </c>
      <c r="AH110">
        <f t="shared" si="116"/>
        <v>0</v>
      </c>
      <c r="AI110">
        <f t="shared" si="116"/>
        <v>0</v>
      </c>
      <c r="AJ110">
        <f t="shared" si="85"/>
        <v>0</v>
      </c>
      <c r="AK110">
        <v>7340.57</v>
      </c>
      <c r="AL110">
        <v>7340.57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95</v>
      </c>
      <c r="AU110">
        <v>47</v>
      </c>
      <c r="AV110">
        <v>1</v>
      </c>
      <c r="AW110">
        <v>1</v>
      </c>
      <c r="AZ110">
        <v>6.71</v>
      </c>
      <c r="BA110">
        <v>1</v>
      </c>
      <c r="BB110">
        <v>1</v>
      </c>
      <c r="BC110">
        <v>6.71</v>
      </c>
      <c r="BD110" t="s">
        <v>6</v>
      </c>
      <c r="BE110" t="s">
        <v>6</v>
      </c>
      <c r="BF110" t="s">
        <v>6</v>
      </c>
      <c r="BG110" t="s">
        <v>6</v>
      </c>
      <c r="BH110">
        <v>3</v>
      </c>
      <c r="BI110">
        <v>1</v>
      </c>
      <c r="BJ110" t="s">
        <v>296</v>
      </c>
      <c r="BM110">
        <v>15001</v>
      </c>
      <c r="BN110">
        <v>0</v>
      </c>
      <c r="BO110" t="s">
        <v>6</v>
      </c>
      <c r="BP110">
        <v>0</v>
      </c>
      <c r="BQ110">
        <v>2</v>
      </c>
      <c r="BR110">
        <v>0</v>
      </c>
      <c r="BS110">
        <v>1</v>
      </c>
      <c r="BT110">
        <v>1</v>
      </c>
      <c r="BU110">
        <v>1</v>
      </c>
      <c r="BV110">
        <v>1</v>
      </c>
      <c r="BW110">
        <v>1</v>
      </c>
      <c r="BX110">
        <v>1</v>
      </c>
      <c r="BY110" t="s">
        <v>6</v>
      </c>
      <c r="BZ110">
        <v>105</v>
      </c>
      <c r="CA110">
        <v>55</v>
      </c>
      <c r="CE110">
        <v>0</v>
      </c>
      <c r="CF110">
        <v>0</v>
      </c>
      <c r="CG110">
        <v>0</v>
      </c>
      <c r="CM110">
        <v>0</v>
      </c>
      <c r="CN110" t="s">
        <v>6</v>
      </c>
      <c r="CO110">
        <v>0</v>
      </c>
      <c r="CP110">
        <f t="shared" si="86"/>
        <v>10705.62</v>
      </c>
      <c r="CQ110">
        <f t="shared" si="87"/>
        <v>49255.224699999999</v>
      </c>
      <c r="CR110">
        <f t="shared" si="88"/>
        <v>0</v>
      </c>
      <c r="CS110">
        <f t="shared" si="89"/>
        <v>0</v>
      </c>
      <c r="CT110">
        <f t="shared" si="90"/>
        <v>0</v>
      </c>
      <c r="CU110">
        <f t="shared" si="91"/>
        <v>0</v>
      </c>
      <c r="CV110">
        <f t="shared" si="92"/>
        <v>0</v>
      </c>
      <c r="CW110">
        <f t="shared" si="93"/>
        <v>0</v>
      </c>
      <c r="CX110">
        <f t="shared" si="94"/>
        <v>0</v>
      </c>
      <c r="CY110">
        <f t="shared" si="95"/>
        <v>0</v>
      </c>
      <c r="CZ110">
        <f t="shared" si="96"/>
        <v>0</v>
      </c>
      <c r="DC110" t="s">
        <v>6</v>
      </c>
      <c r="DD110" t="s">
        <v>6</v>
      </c>
      <c r="DE110" t="s">
        <v>6</v>
      </c>
      <c r="DF110" t="s">
        <v>6</v>
      </c>
      <c r="DG110" t="s">
        <v>6</v>
      </c>
      <c r="DH110" t="s">
        <v>6</v>
      </c>
      <c r="DI110" t="s">
        <v>6</v>
      </c>
      <c r="DJ110" t="s">
        <v>6</v>
      </c>
      <c r="DK110" t="s">
        <v>6</v>
      </c>
      <c r="DL110" t="s">
        <v>6</v>
      </c>
      <c r="DM110" t="s">
        <v>6</v>
      </c>
      <c r="DN110">
        <v>0</v>
      </c>
      <c r="DO110">
        <v>0</v>
      </c>
      <c r="DP110">
        <v>1</v>
      </c>
      <c r="DQ110">
        <v>1</v>
      </c>
      <c r="DU110">
        <v>1009</v>
      </c>
      <c r="DV110" t="s">
        <v>104</v>
      </c>
      <c r="DW110" t="s">
        <v>104</v>
      </c>
      <c r="DX110">
        <v>1000</v>
      </c>
      <c r="EE110">
        <v>16510513</v>
      </c>
      <c r="EF110">
        <v>2</v>
      </c>
      <c r="EG110" t="s">
        <v>20</v>
      </c>
      <c r="EH110">
        <v>0</v>
      </c>
      <c r="EI110" t="s">
        <v>6</v>
      </c>
      <c r="EJ110">
        <v>1</v>
      </c>
      <c r="EK110">
        <v>15001</v>
      </c>
      <c r="EL110" t="s">
        <v>223</v>
      </c>
      <c r="EM110" t="s">
        <v>224</v>
      </c>
      <c r="EO110" t="s">
        <v>6</v>
      </c>
      <c r="EQ110">
        <v>0</v>
      </c>
      <c r="ER110">
        <v>7340.57</v>
      </c>
      <c r="ES110">
        <v>7340.57</v>
      </c>
      <c r="ET110">
        <v>0</v>
      </c>
      <c r="EU110">
        <v>0</v>
      </c>
      <c r="EV110">
        <v>0</v>
      </c>
      <c r="EW110">
        <v>0</v>
      </c>
      <c r="EX110">
        <v>0</v>
      </c>
      <c r="FQ110">
        <v>0</v>
      </c>
      <c r="FR110">
        <f t="shared" si="97"/>
        <v>0</v>
      </c>
      <c r="FS110">
        <v>0</v>
      </c>
      <c r="FT110" t="s">
        <v>23</v>
      </c>
      <c r="FU110" t="s">
        <v>24</v>
      </c>
      <c r="FX110">
        <v>94.5</v>
      </c>
      <c r="FY110">
        <v>46.75</v>
      </c>
      <c r="GA110" t="s">
        <v>6</v>
      </c>
      <c r="GD110">
        <v>0</v>
      </c>
      <c r="GF110">
        <v>1446672103</v>
      </c>
      <c r="GG110">
        <v>1</v>
      </c>
      <c r="GH110">
        <v>1</v>
      </c>
      <c r="GI110">
        <v>4</v>
      </c>
      <c r="GJ110">
        <v>0</v>
      </c>
      <c r="GK110">
        <f>ROUND(R110*(R12)/100,2)</f>
        <v>0</v>
      </c>
      <c r="GL110">
        <f t="shared" si="98"/>
        <v>0</v>
      </c>
      <c r="GM110">
        <f t="shared" si="99"/>
        <v>10705.62</v>
      </c>
      <c r="GN110">
        <f t="shared" si="100"/>
        <v>10705.62</v>
      </c>
      <c r="GO110">
        <f t="shared" si="101"/>
        <v>0</v>
      </c>
      <c r="GP110">
        <f t="shared" si="102"/>
        <v>0</v>
      </c>
      <c r="GR110">
        <v>0</v>
      </c>
      <c r="GS110">
        <v>3</v>
      </c>
      <c r="GT110">
        <v>0</v>
      </c>
      <c r="GU110" t="s">
        <v>6</v>
      </c>
      <c r="GV110">
        <f t="shared" si="103"/>
        <v>0</v>
      </c>
      <c r="GW110">
        <v>1</v>
      </c>
      <c r="GX110">
        <f t="shared" si="104"/>
        <v>0</v>
      </c>
      <c r="HA110">
        <v>0</v>
      </c>
      <c r="HB110">
        <v>0</v>
      </c>
      <c r="HC110">
        <f t="shared" si="105"/>
        <v>0</v>
      </c>
      <c r="IK110">
        <v>0</v>
      </c>
    </row>
    <row r="111" spans="1:245" x14ac:dyDescent="0.2">
      <c r="A111">
        <v>18</v>
      </c>
      <c r="B111">
        <v>1</v>
      </c>
      <c r="C111">
        <v>161</v>
      </c>
      <c r="E111" t="s">
        <v>297</v>
      </c>
      <c r="F111" t="s">
        <v>298</v>
      </c>
      <c r="G111" t="s">
        <v>299</v>
      </c>
      <c r="H111" t="s">
        <v>300</v>
      </c>
      <c r="I111">
        <f>I107*J111</f>
        <v>-217.35</v>
      </c>
      <c r="J111">
        <v>-450</v>
      </c>
      <c r="O111">
        <f t="shared" ref="O111:O142" si="117">ROUND(CP111,2)</f>
        <v>-1998.03</v>
      </c>
      <c r="P111">
        <f t="shared" ref="P111:P142" si="118">ROUND(CQ111*I111,2)</f>
        <v>-1998.03</v>
      </c>
      <c r="Q111">
        <f t="shared" ref="Q111:Q142" si="119">ROUND(CR111*I111,2)</f>
        <v>0</v>
      </c>
      <c r="R111">
        <f t="shared" ref="R111:R142" si="120">ROUND(CS111*I111,2)</f>
        <v>0</v>
      </c>
      <c r="S111">
        <f t="shared" ref="S111:S142" si="121">ROUND(CT111*I111,2)</f>
        <v>0</v>
      </c>
      <c r="T111">
        <f t="shared" ref="T111:T142" si="122">ROUND(CU111*I111,2)</f>
        <v>0</v>
      </c>
      <c r="U111">
        <f t="shared" ref="U111:U142" si="123">CV111*I111</f>
        <v>0</v>
      </c>
      <c r="V111">
        <f t="shared" ref="V111:V142" si="124">CW111*I111</f>
        <v>0</v>
      </c>
      <c r="W111">
        <f t="shared" ref="W111:W142" si="125">ROUND(CX111*I111,2)</f>
        <v>0</v>
      </c>
      <c r="X111">
        <f t="shared" ref="X111:X142" si="126">ROUND(CY111,2)</f>
        <v>0</v>
      </c>
      <c r="Y111">
        <f t="shared" ref="Y111:Y142" si="127">ROUND(CZ111,2)</f>
        <v>0</v>
      </c>
      <c r="AA111">
        <v>16808636</v>
      </c>
      <c r="AB111">
        <f t="shared" ref="AB111:AB142" si="128">ROUND((AC111+AD111+AF111),2)</f>
        <v>1.37</v>
      </c>
      <c r="AC111">
        <f t="shared" ref="AC111:AC142" si="129">ROUND((ES111),2)</f>
        <v>1.37</v>
      </c>
      <c r="AD111">
        <f>ROUND((((ET111)-(EU111))+AE111),2)</f>
        <v>0</v>
      </c>
      <c r="AE111">
        <f t="shared" si="115"/>
        <v>0</v>
      </c>
      <c r="AF111">
        <f t="shared" si="115"/>
        <v>0</v>
      </c>
      <c r="AG111">
        <f t="shared" ref="AG111:AG142" si="130">ROUND((AP111),2)</f>
        <v>0</v>
      </c>
      <c r="AH111">
        <f t="shared" si="116"/>
        <v>0</v>
      </c>
      <c r="AI111">
        <f t="shared" si="116"/>
        <v>0</v>
      </c>
      <c r="AJ111">
        <f t="shared" ref="AJ111:AJ142" si="131">(AS111)</f>
        <v>0</v>
      </c>
      <c r="AK111">
        <v>1.37</v>
      </c>
      <c r="AL111">
        <v>1.37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111</v>
      </c>
      <c r="AU111">
        <v>64</v>
      </c>
      <c r="AV111">
        <v>1</v>
      </c>
      <c r="AW111">
        <v>1</v>
      </c>
      <c r="AZ111">
        <v>6.71</v>
      </c>
      <c r="BA111">
        <v>1</v>
      </c>
      <c r="BB111">
        <v>1</v>
      </c>
      <c r="BC111">
        <v>6.71</v>
      </c>
      <c r="BD111" t="s">
        <v>6</v>
      </c>
      <c r="BE111" t="s">
        <v>6</v>
      </c>
      <c r="BF111" t="s">
        <v>6</v>
      </c>
      <c r="BG111" t="s">
        <v>6</v>
      </c>
      <c r="BH111">
        <v>3</v>
      </c>
      <c r="BI111">
        <v>1</v>
      </c>
      <c r="BJ111" t="s">
        <v>301</v>
      </c>
      <c r="BM111">
        <v>11001</v>
      </c>
      <c r="BN111">
        <v>0</v>
      </c>
      <c r="BO111" t="s">
        <v>6</v>
      </c>
      <c r="BP111">
        <v>0</v>
      </c>
      <c r="BQ111">
        <v>2</v>
      </c>
      <c r="BR111">
        <v>1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6</v>
      </c>
      <c r="BZ111">
        <v>123</v>
      </c>
      <c r="CA111">
        <v>75</v>
      </c>
      <c r="CE111">
        <v>0</v>
      </c>
      <c r="CF111">
        <v>0</v>
      </c>
      <c r="CG111">
        <v>0</v>
      </c>
      <c r="CM111">
        <v>0</v>
      </c>
      <c r="CN111" t="s">
        <v>6</v>
      </c>
      <c r="CO111">
        <v>0</v>
      </c>
      <c r="CP111">
        <f t="shared" ref="CP111:CP142" si="132">(P111+Q111+S111)</f>
        <v>-1998.03</v>
      </c>
      <c r="CQ111">
        <f t="shared" ref="CQ111:CQ142" si="133">AC111*BC111</f>
        <v>9.1927000000000003</v>
      </c>
      <c r="CR111">
        <f t="shared" ref="CR111:CR142" si="134">AD111*BB111</f>
        <v>0</v>
      </c>
      <c r="CS111">
        <f t="shared" ref="CS111:CS142" si="135">AE111*BS111</f>
        <v>0</v>
      </c>
      <c r="CT111">
        <f t="shared" ref="CT111:CT142" si="136">AF111*BA111</f>
        <v>0</v>
      </c>
      <c r="CU111">
        <f t="shared" ref="CU111:CU142" si="137">AG111</f>
        <v>0</v>
      </c>
      <c r="CV111">
        <f t="shared" ref="CV111:CV142" si="138">AH111</f>
        <v>0</v>
      </c>
      <c r="CW111">
        <f t="shared" ref="CW111:CW142" si="139">AI111</f>
        <v>0</v>
      </c>
      <c r="CX111">
        <f t="shared" ref="CX111:CX142" si="140">AJ111</f>
        <v>0</v>
      </c>
      <c r="CY111">
        <f t="shared" ref="CY111:CY142" si="141">(((S111+R111)*AT111)/100)</f>
        <v>0</v>
      </c>
      <c r="CZ111">
        <f t="shared" ref="CZ111:CZ142" si="142">(((S111+R111)*AU111)/100)</f>
        <v>0</v>
      </c>
      <c r="DC111" t="s">
        <v>6</v>
      </c>
      <c r="DD111" t="s">
        <v>6</v>
      </c>
      <c r="DE111" t="s">
        <v>6</v>
      </c>
      <c r="DF111" t="s">
        <v>6</v>
      </c>
      <c r="DG111" t="s">
        <v>6</v>
      </c>
      <c r="DH111" t="s">
        <v>6</v>
      </c>
      <c r="DI111" t="s">
        <v>6</v>
      </c>
      <c r="DJ111" t="s">
        <v>6</v>
      </c>
      <c r="DK111" t="s">
        <v>6</v>
      </c>
      <c r="DL111" t="s">
        <v>6</v>
      </c>
      <c r="DM111" t="s">
        <v>6</v>
      </c>
      <c r="DN111">
        <v>0</v>
      </c>
      <c r="DO111">
        <v>0</v>
      </c>
      <c r="DP111">
        <v>1</v>
      </c>
      <c r="DQ111">
        <v>1</v>
      </c>
      <c r="DU111">
        <v>1009</v>
      </c>
      <c r="DV111" t="s">
        <v>300</v>
      </c>
      <c r="DW111" t="s">
        <v>300</v>
      </c>
      <c r="DX111">
        <v>1</v>
      </c>
      <c r="EE111">
        <v>16510488</v>
      </c>
      <c r="EF111">
        <v>2</v>
      </c>
      <c r="EG111" t="s">
        <v>20</v>
      </c>
      <c r="EH111">
        <v>0</v>
      </c>
      <c r="EI111" t="s">
        <v>6</v>
      </c>
      <c r="EJ111">
        <v>1</v>
      </c>
      <c r="EK111">
        <v>11001</v>
      </c>
      <c r="EL111" t="s">
        <v>75</v>
      </c>
      <c r="EM111" t="s">
        <v>83</v>
      </c>
      <c r="EO111" t="s">
        <v>6</v>
      </c>
      <c r="EQ111">
        <v>0</v>
      </c>
      <c r="ER111">
        <v>1.37</v>
      </c>
      <c r="ES111">
        <v>1.37</v>
      </c>
      <c r="ET111">
        <v>0</v>
      </c>
      <c r="EU111">
        <v>0</v>
      </c>
      <c r="EV111">
        <v>0</v>
      </c>
      <c r="EW111">
        <v>0</v>
      </c>
      <c r="EX111">
        <v>0</v>
      </c>
      <c r="FQ111">
        <v>0</v>
      </c>
      <c r="FR111">
        <f t="shared" ref="FR111:FR142" si="143">ROUND(IF(AND(BH111=3,BI111=3),P111,0),2)</f>
        <v>0</v>
      </c>
      <c r="FS111">
        <v>0</v>
      </c>
      <c r="FT111" t="s">
        <v>23</v>
      </c>
      <c r="FU111" t="s">
        <v>24</v>
      </c>
      <c r="FX111">
        <v>110.7</v>
      </c>
      <c r="FY111">
        <v>63.75</v>
      </c>
      <c r="GA111" t="s">
        <v>6</v>
      </c>
      <c r="GD111">
        <v>0</v>
      </c>
      <c r="GF111">
        <v>538897998</v>
      </c>
      <c r="GG111">
        <v>1</v>
      </c>
      <c r="GH111">
        <v>1</v>
      </c>
      <c r="GI111">
        <v>4</v>
      </c>
      <c r="GJ111">
        <v>0</v>
      </c>
      <c r="GK111">
        <f>ROUND(R111*(R12)/100,2)</f>
        <v>0</v>
      </c>
      <c r="GL111">
        <f t="shared" ref="GL111:GL142" si="144">ROUND(IF(AND(BH111=3,BI111=3,FS111&lt;&gt;0),P111,0),2)</f>
        <v>0</v>
      </c>
      <c r="GM111">
        <f t="shared" ref="GM111:GM142" si="145">ROUND(O111+X111+Y111+GK111,2)+GX111</f>
        <v>-1998.03</v>
      </c>
      <c r="GN111">
        <f t="shared" ref="GN111:GN142" si="146">IF(OR(BI111=0,BI111=1),ROUND(O111+X111+Y111+GK111,2),0)</f>
        <v>-1998.03</v>
      </c>
      <c r="GO111">
        <f t="shared" ref="GO111:GO142" si="147">IF(BI111=2,ROUND(O111+X111+Y111+GK111,2),0)</f>
        <v>0</v>
      </c>
      <c r="GP111">
        <f t="shared" ref="GP111:GP142" si="148">IF(BI111=4,ROUND(O111+X111+Y111+GK111,2)+GX111,0)</f>
        <v>0</v>
      </c>
      <c r="GR111">
        <v>0</v>
      </c>
      <c r="GS111">
        <v>3</v>
      </c>
      <c r="GT111">
        <v>0</v>
      </c>
      <c r="GU111" t="s">
        <v>6</v>
      </c>
      <c r="GV111">
        <f t="shared" ref="GV111:GV142" si="149">ROUND((GT111),2)</f>
        <v>0</v>
      </c>
      <c r="GW111">
        <v>1</v>
      </c>
      <c r="GX111">
        <f t="shared" ref="GX111:GX142" si="150">ROUND(HC111*I111,2)</f>
        <v>0</v>
      </c>
      <c r="HA111">
        <v>0</v>
      </c>
      <c r="HB111">
        <v>0</v>
      </c>
      <c r="HC111">
        <f t="shared" ref="HC111:HC142" si="151">GV111*GW111</f>
        <v>0</v>
      </c>
      <c r="IK111">
        <v>0</v>
      </c>
    </row>
    <row r="112" spans="1:245" x14ac:dyDescent="0.2">
      <c r="A112">
        <v>17</v>
      </c>
      <c r="B112">
        <v>1</v>
      </c>
      <c r="C112">
        <f>ROW(SmtRes!A169)</f>
        <v>169</v>
      </c>
      <c r="D112">
        <f>ROW(EtalonRes!A164)</f>
        <v>164</v>
      </c>
      <c r="E112" t="s">
        <v>302</v>
      </c>
      <c r="F112" t="s">
        <v>303</v>
      </c>
      <c r="G112" t="s">
        <v>304</v>
      </c>
      <c r="H112" t="s">
        <v>40</v>
      </c>
      <c r="I112">
        <f>ROUND(46.2/100,9)</f>
        <v>0.46200000000000002</v>
      </c>
      <c r="J112">
        <v>0</v>
      </c>
      <c r="O112">
        <f t="shared" si="117"/>
        <v>994.68</v>
      </c>
      <c r="P112">
        <f t="shared" si="118"/>
        <v>0</v>
      </c>
      <c r="Q112">
        <f t="shared" si="119"/>
        <v>25.58</v>
      </c>
      <c r="R112">
        <f t="shared" si="120"/>
        <v>6.42</v>
      </c>
      <c r="S112">
        <f t="shared" si="121"/>
        <v>969.1</v>
      </c>
      <c r="T112">
        <f t="shared" si="122"/>
        <v>0</v>
      </c>
      <c r="U112">
        <f t="shared" si="123"/>
        <v>15.186679199999999</v>
      </c>
      <c r="V112">
        <f t="shared" si="124"/>
        <v>7.6230000000000006E-2</v>
      </c>
      <c r="W112">
        <f t="shared" si="125"/>
        <v>0</v>
      </c>
      <c r="X112">
        <f t="shared" si="126"/>
        <v>1082.83</v>
      </c>
      <c r="Y112">
        <f t="shared" si="127"/>
        <v>624.33000000000004</v>
      </c>
      <c r="AA112">
        <v>16808636</v>
      </c>
      <c r="AB112">
        <f t="shared" si="128"/>
        <v>320.86</v>
      </c>
      <c r="AC112">
        <f t="shared" si="129"/>
        <v>0</v>
      </c>
      <c r="AD112">
        <f>ROUND((((((ET112*1.25)*1.2))-(((EU112*1.25)*1.2)))+AE112),2)</f>
        <v>8.25</v>
      </c>
      <c r="AE112">
        <f>ROUND((((EU112*1.25)*1.2)),2)</f>
        <v>2.0699999999999998</v>
      </c>
      <c r="AF112">
        <f>ROUND((((EV112*1.15)*1.2)),2)</f>
        <v>312.61</v>
      </c>
      <c r="AG112">
        <f t="shared" si="130"/>
        <v>0</v>
      </c>
      <c r="AH112">
        <f>(((EW112*1.15)*1.2))</f>
        <v>32.871599999999994</v>
      </c>
      <c r="AI112">
        <f>(((EX112*1.25)*1.2))</f>
        <v>0.16500000000000001</v>
      </c>
      <c r="AJ112">
        <f t="shared" si="131"/>
        <v>0</v>
      </c>
      <c r="AK112">
        <v>232.03</v>
      </c>
      <c r="AL112">
        <v>0</v>
      </c>
      <c r="AM112">
        <v>5.5</v>
      </c>
      <c r="AN112">
        <v>1.38</v>
      </c>
      <c r="AO112">
        <v>226.53</v>
      </c>
      <c r="AP112">
        <v>0</v>
      </c>
      <c r="AQ112">
        <v>23.82</v>
      </c>
      <c r="AR112">
        <v>0.11</v>
      </c>
      <c r="AS112">
        <v>0</v>
      </c>
      <c r="AT112">
        <v>111</v>
      </c>
      <c r="AU112">
        <v>64</v>
      </c>
      <c r="AV112">
        <v>1</v>
      </c>
      <c r="AW112">
        <v>1</v>
      </c>
      <c r="AZ112">
        <v>6.71</v>
      </c>
      <c r="BA112">
        <v>6.71</v>
      </c>
      <c r="BB112">
        <v>6.71</v>
      </c>
      <c r="BC112">
        <v>6.71</v>
      </c>
      <c r="BD112" t="s">
        <v>6</v>
      </c>
      <c r="BE112" t="s">
        <v>6</v>
      </c>
      <c r="BF112" t="s">
        <v>6</v>
      </c>
      <c r="BG112" t="s">
        <v>6</v>
      </c>
      <c r="BH112">
        <v>0</v>
      </c>
      <c r="BI112">
        <v>1</v>
      </c>
      <c r="BJ112" t="s">
        <v>305</v>
      </c>
      <c r="BM112">
        <v>11001</v>
      </c>
      <c r="BN112">
        <v>0</v>
      </c>
      <c r="BO112" t="s">
        <v>6</v>
      </c>
      <c r="BP112">
        <v>0</v>
      </c>
      <c r="BQ112">
        <v>2</v>
      </c>
      <c r="BR112">
        <v>0</v>
      </c>
      <c r="BS112">
        <v>6.71</v>
      </c>
      <c r="BT112">
        <v>1</v>
      </c>
      <c r="BU112">
        <v>1</v>
      </c>
      <c r="BV112">
        <v>1</v>
      </c>
      <c r="BW112">
        <v>1</v>
      </c>
      <c r="BX112">
        <v>1</v>
      </c>
      <c r="BY112" t="s">
        <v>6</v>
      </c>
      <c r="BZ112">
        <v>123</v>
      </c>
      <c r="CA112">
        <v>75</v>
      </c>
      <c r="CE112">
        <v>0</v>
      </c>
      <c r="CF112">
        <v>0</v>
      </c>
      <c r="CG112">
        <v>0</v>
      </c>
      <c r="CM112">
        <v>0</v>
      </c>
      <c r="CN112" t="s">
        <v>1057</v>
      </c>
      <c r="CO112">
        <v>0</v>
      </c>
      <c r="CP112">
        <f t="shared" si="132"/>
        <v>994.68000000000006</v>
      </c>
      <c r="CQ112">
        <f t="shared" si="133"/>
        <v>0</v>
      </c>
      <c r="CR112">
        <f t="shared" si="134"/>
        <v>55.357500000000002</v>
      </c>
      <c r="CS112">
        <f t="shared" si="135"/>
        <v>13.889699999999999</v>
      </c>
      <c r="CT112">
        <f t="shared" si="136"/>
        <v>2097.6131</v>
      </c>
      <c r="CU112">
        <f t="shared" si="137"/>
        <v>0</v>
      </c>
      <c r="CV112">
        <f t="shared" si="138"/>
        <v>32.871599999999994</v>
      </c>
      <c r="CW112">
        <f t="shared" si="139"/>
        <v>0.16500000000000001</v>
      </c>
      <c r="CX112">
        <f t="shared" si="140"/>
        <v>0</v>
      </c>
      <c r="CY112">
        <f t="shared" si="141"/>
        <v>1082.8271999999999</v>
      </c>
      <c r="CZ112">
        <f t="shared" si="142"/>
        <v>624.33280000000002</v>
      </c>
      <c r="DC112" t="s">
        <v>6</v>
      </c>
      <c r="DD112" t="s">
        <v>6</v>
      </c>
      <c r="DE112" t="s">
        <v>174</v>
      </c>
      <c r="DF112" t="s">
        <v>174</v>
      </c>
      <c r="DG112" t="s">
        <v>175</v>
      </c>
      <c r="DH112" t="s">
        <v>6</v>
      </c>
      <c r="DI112" t="s">
        <v>175</v>
      </c>
      <c r="DJ112" t="s">
        <v>174</v>
      </c>
      <c r="DK112" t="s">
        <v>6</v>
      </c>
      <c r="DL112" t="s">
        <v>6</v>
      </c>
      <c r="DM112" t="s">
        <v>6</v>
      </c>
      <c r="DN112">
        <v>0</v>
      </c>
      <c r="DO112">
        <v>0</v>
      </c>
      <c r="DP112">
        <v>1</v>
      </c>
      <c r="DQ112">
        <v>1</v>
      </c>
      <c r="DU112">
        <v>1003</v>
      </c>
      <c r="DV112" t="s">
        <v>40</v>
      </c>
      <c r="DW112" t="s">
        <v>40</v>
      </c>
      <c r="DX112">
        <v>100</v>
      </c>
      <c r="EE112">
        <v>16510488</v>
      </c>
      <c r="EF112">
        <v>2</v>
      </c>
      <c r="EG112" t="s">
        <v>20</v>
      </c>
      <c r="EH112">
        <v>0</v>
      </c>
      <c r="EI112" t="s">
        <v>6</v>
      </c>
      <c r="EJ112">
        <v>1</v>
      </c>
      <c r="EK112">
        <v>11001</v>
      </c>
      <c r="EL112" t="s">
        <v>75</v>
      </c>
      <c r="EM112" t="s">
        <v>83</v>
      </c>
      <c r="EO112" t="s">
        <v>178</v>
      </c>
      <c r="EQ112">
        <v>0</v>
      </c>
      <c r="ER112">
        <v>232.03</v>
      </c>
      <c r="ES112">
        <v>0</v>
      </c>
      <c r="ET112">
        <v>5.5</v>
      </c>
      <c r="EU112">
        <v>1.38</v>
      </c>
      <c r="EV112">
        <v>226.53</v>
      </c>
      <c r="EW112">
        <v>23.82</v>
      </c>
      <c r="EX112">
        <v>0.11</v>
      </c>
      <c r="EY112">
        <v>0</v>
      </c>
      <c r="FQ112">
        <v>0</v>
      </c>
      <c r="FR112">
        <f t="shared" si="143"/>
        <v>0</v>
      </c>
      <c r="FS112">
        <v>0</v>
      </c>
      <c r="FT112" t="s">
        <v>23</v>
      </c>
      <c r="FU112" t="s">
        <v>24</v>
      </c>
      <c r="FX112">
        <v>110.7</v>
      </c>
      <c r="FY112">
        <v>63.75</v>
      </c>
      <c r="GA112" t="s">
        <v>6</v>
      </c>
      <c r="GD112">
        <v>0</v>
      </c>
      <c r="GF112">
        <v>1990727352</v>
      </c>
      <c r="GG112">
        <v>1</v>
      </c>
      <c r="GH112">
        <v>1</v>
      </c>
      <c r="GI112">
        <v>4</v>
      </c>
      <c r="GJ112">
        <v>0</v>
      </c>
      <c r="GK112">
        <f>ROUND(R112*(R12)/100,2)</f>
        <v>0</v>
      </c>
      <c r="GL112">
        <f t="shared" si="144"/>
        <v>0</v>
      </c>
      <c r="GM112">
        <f t="shared" si="145"/>
        <v>2701.84</v>
      </c>
      <c r="GN112">
        <f t="shared" si="146"/>
        <v>2701.84</v>
      </c>
      <c r="GO112">
        <f t="shared" si="147"/>
        <v>0</v>
      </c>
      <c r="GP112">
        <f t="shared" si="148"/>
        <v>0</v>
      </c>
      <c r="GR112">
        <v>0</v>
      </c>
      <c r="GS112">
        <v>3</v>
      </c>
      <c r="GT112">
        <v>0</v>
      </c>
      <c r="GU112" t="s">
        <v>6</v>
      </c>
      <c r="GV112">
        <f t="shared" si="149"/>
        <v>0</v>
      </c>
      <c r="GW112">
        <v>1</v>
      </c>
      <c r="GX112">
        <f t="shared" si="150"/>
        <v>0</v>
      </c>
      <c r="HA112">
        <v>0</v>
      </c>
      <c r="HB112">
        <v>0</v>
      </c>
      <c r="HC112">
        <f t="shared" si="151"/>
        <v>0</v>
      </c>
      <c r="IK112">
        <v>0</v>
      </c>
    </row>
    <row r="113" spans="1:245" x14ac:dyDescent="0.2">
      <c r="A113">
        <v>18</v>
      </c>
      <c r="B113">
        <v>1</v>
      </c>
      <c r="C113">
        <v>166</v>
      </c>
      <c r="E113" t="s">
        <v>306</v>
      </c>
      <c r="F113" t="s">
        <v>252</v>
      </c>
      <c r="G113" t="s">
        <v>253</v>
      </c>
      <c r="H113" t="s">
        <v>254</v>
      </c>
      <c r="I113">
        <f>I112*J113</f>
        <v>7.392E-2</v>
      </c>
      <c r="J113">
        <v>0.16</v>
      </c>
      <c r="O113">
        <f t="shared" si="117"/>
        <v>0</v>
      </c>
      <c r="P113">
        <f t="shared" si="118"/>
        <v>0</v>
      </c>
      <c r="Q113">
        <f t="shared" si="119"/>
        <v>0</v>
      </c>
      <c r="R113">
        <f t="shared" si="120"/>
        <v>0</v>
      </c>
      <c r="S113">
        <f t="shared" si="121"/>
        <v>0</v>
      </c>
      <c r="T113">
        <f t="shared" si="122"/>
        <v>0</v>
      </c>
      <c r="U113">
        <f t="shared" si="123"/>
        <v>0</v>
      </c>
      <c r="V113">
        <f t="shared" si="124"/>
        <v>0</v>
      </c>
      <c r="W113">
        <f t="shared" si="125"/>
        <v>0</v>
      </c>
      <c r="X113">
        <f t="shared" si="126"/>
        <v>0</v>
      </c>
      <c r="Y113">
        <f t="shared" si="127"/>
        <v>0</v>
      </c>
      <c r="AA113">
        <v>16808636</v>
      </c>
      <c r="AB113">
        <f t="shared" si="128"/>
        <v>0</v>
      </c>
      <c r="AC113">
        <f t="shared" si="129"/>
        <v>0</v>
      </c>
      <c r="AD113">
        <f>ROUND((((ET113)-(EU113))+AE113),2)</f>
        <v>0</v>
      </c>
      <c r="AE113">
        <f t="shared" ref="AE113:AF116" si="152">ROUND((EU113),2)</f>
        <v>0</v>
      </c>
      <c r="AF113">
        <f t="shared" si="152"/>
        <v>0</v>
      </c>
      <c r="AG113">
        <f t="shared" si="130"/>
        <v>0</v>
      </c>
      <c r="AH113">
        <f t="shared" ref="AH113:AI116" si="153">(EW113)</f>
        <v>0</v>
      </c>
      <c r="AI113">
        <f t="shared" si="153"/>
        <v>0</v>
      </c>
      <c r="AJ113">
        <f t="shared" si="131"/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111</v>
      </c>
      <c r="AU113">
        <v>64</v>
      </c>
      <c r="AV113">
        <v>1</v>
      </c>
      <c r="AW113">
        <v>1</v>
      </c>
      <c r="AZ113">
        <v>6.71</v>
      </c>
      <c r="BA113">
        <v>1</v>
      </c>
      <c r="BB113">
        <v>1</v>
      </c>
      <c r="BC113">
        <v>6.71</v>
      </c>
      <c r="BD113" t="s">
        <v>6</v>
      </c>
      <c r="BE113" t="s">
        <v>6</v>
      </c>
      <c r="BF113" t="s">
        <v>6</v>
      </c>
      <c r="BG113" t="s">
        <v>6</v>
      </c>
      <c r="BH113">
        <v>3</v>
      </c>
      <c r="BI113">
        <v>1</v>
      </c>
      <c r="BJ113" t="s">
        <v>6</v>
      </c>
      <c r="BM113">
        <v>11001</v>
      </c>
      <c r="BN113">
        <v>0</v>
      </c>
      <c r="BO113" t="s">
        <v>6</v>
      </c>
      <c r="BP113">
        <v>0</v>
      </c>
      <c r="BQ113">
        <v>2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6</v>
      </c>
      <c r="BZ113">
        <v>123</v>
      </c>
      <c r="CA113">
        <v>75</v>
      </c>
      <c r="CE113">
        <v>0</v>
      </c>
      <c r="CF113">
        <v>0</v>
      </c>
      <c r="CG113">
        <v>0</v>
      </c>
      <c r="CM113">
        <v>0</v>
      </c>
      <c r="CN113" t="s">
        <v>6</v>
      </c>
      <c r="CO113">
        <v>0</v>
      </c>
      <c r="CP113">
        <f t="shared" si="132"/>
        <v>0</v>
      </c>
      <c r="CQ113">
        <f t="shared" si="133"/>
        <v>0</v>
      </c>
      <c r="CR113">
        <f t="shared" si="134"/>
        <v>0</v>
      </c>
      <c r="CS113">
        <f t="shared" si="135"/>
        <v>0</v>
      </c>
      <c r="CT113">
        <f t="shared" si="136"/>
        <v>0</v>
      </c>
      <c r="CU113">
        <f t="shared" si="137"/>
        <v>0</v>
      </c>
      <c r="CV113">
        <f t="shared" si="138"/>
        <v>0</v>
      </c>
      <c r="CW113">
        <f t="shared" si="139"/>
        <v>0</v>
      </c>
      <c r="CX113">
        <f t="shared" si="140"/>
        <v>0</v>
      </c>
      <c r="CY113">
        <f t="shared" si="141"/>
        <v>0</v>
      </c>
      <c r="CZ113">
        <f t="shared" si="142"/>
        <v>0</v>
      </c>
      <c r="DC113" t="s">
        <v>6</v>
      </c>
      <c r="DD113" t="s">
        <v>6</v>
      </c>
      <c r="DE113" t="s">
        <v>6</v>
      </c>
      <c r="DF113" t="s">
        <v>6</v>
      </c>
      <c r="DG113" t="s">
        <v>6</v>
      </c>
      <c r="DH113" t="s">
        <v>6</v>
      </c>
      <c r="DI113" t="s">
        <v>6</v>
      </c>
      <c r="DJ113" t="s">
        <v>6</v>
      </c>
      <c r="DK113" t="s">
        <v>6</v>
      </c>
      <c r="DL113" t="s">
        <v>6</v>
      </c>
      <c r="DM113" t="s">
        <v>6</v>
      </c>
      <c r="DN113">
        <v>0</v>
      </c>
      <c r="DO113">
        <v>0</v>
      </c>
      <c r="DP113">
        <v>1</v>
      </c>
      <c r="DQ113">
        <v>1</v>
      </c>
      <c r="DU113">
        <v>1007</v>
      </c>
      <c r="DV113" t="s">
        <v>254</v>
      </c>
      <c r="DW113" t="s">
        <v>254</v>
      </c>
      <c r="DX113">
        <v>1</v>
      </c>
      <c r="EE113">
        <v>16510488</v>
      </c>
      <c r="EF113">
        <v>2</v>
      </c>
      <c r="EG113" t="s">
        <v>20</v>
      </c>
      <c r="EH113">
        <v>0</v>
      </c>
      <c r="EI113" t="s">
        <v>6</v>
      </c>
      <c r="EJ113">
        <v>1</v>
      </c>
      <c r="EK113">
        <v>11001</v>
      </c>
      <c r="EL113" t="s">
        <v>75</v>
      </c>
      <c r="EM113" t="s">
        <v>83</v>
      </c>
      <c r="EO113" t="s">
        <v>6</v>
      </c>
      <c r="EQ113">
        <v>0</v>
      </c>
      <c r="ER113">
        <v>0</v>
      </c>
      <c r="ES113">
        <v>0</v>
      </c>
      <c r="ET113">
        <v>0</v>
      </c>
      <c r="EU113">
        <v>0</v>
      </c>
      <c r="EV113">
        <v>0</v>
      </c>
      <c r="EW113">
        <v>0</v>
      </c>
      <c r="EX113">
        <v>0</v>
      </c>
      <c r="FQ113">
        <v>0</v>
      </c>
      <c r="FR113">
        <f t="shared" si="143"/>
        <v>0</v>
      </c>
      <c r="FS113">
        <v>0</v>
      </c>
      <c r="FT113" t="s">
        <v>23</v>
      </c>
      <c r="FU113" t="s">
        <v>24</v>
      </c>
      <c r="FX113">
        <v>110.7</v>
      </c>
      <c r="FY113">
        <v>63.75</v>
      </c>
      <c r="GA113" t="s">
        <v>6</v>
      </c>
      <c r="GD113">
        <v>0</v>
      </c>
      <c r="GF113">
        <v>-2113302258</v>
      </c>
      <c r="GG113">
        <v>1</v>
      </c>
      <c r="GH113">
        <v>1</v>
      </c>
      <c r="GI113">
        <v>4</v>
      </c>
      <c r="GJ113">
        <v>0</v>
      </c>
      <c r="GK113">
        <f>ROUND(R113*(R12)/100,2)</f>
        <v>0</v>
      </c>
      <c r="GL113">
        <f t="shared" si="144"/>
        <v>0</v>
      </c>
      <c r="GM113">
        <f t="shared" si="145"/>
        <v>0</v>
      </c>
      <c r="GN113">
        <f t="shared" si="146"/>
        <v>0</v>
      </c>
      <c r="GO113">
        <f t="shared" si="147"/>
        <v>0</v>
      </c>
      <c r="GP113">
        <f t="shared" si="148"/>
        <v>0</v>
      </c>
      <c r="GR113">
        <v>0</v>
      </c>
      <c r="GS113">
        <v>3</v>
      </c>
      <c r="GT113">
        <v>0</v>
      </c>
      <c r="GU113" t="s">
        <v>6</v>
      </c>
      <c r="GV113">
        <f t="shared" si="149"/>
        <v>0</v>
      </c>
      <c r="GW113">
        <v>1</v>
      </c>
      <c r="GX113">
        <f t="shared" si="150"/>
        <v>0</v>
      </c>
      <c r="HA113">
        <v>0</v>
      </c>
      <c r="HB113">
        <v>0</v>
      </c>
      <c r="HC113">
        <f t="shared" si="151"/>
        <v>0</v>
      </c>
      <c r="IK113">
        <v>0</v>
      </c>
    </row>
    <row r="114" spans="1:245" x14ac:dyDescent="0.2">
      <c r="A114">
        <v>18</v>
      </c>
      <c r="B114">
        <v>1</v>
      </c>
      <c r="C114">
        <v>167</v>
      </c>
      <c r="E114" t="s">
        <v>307</v>
      </c>
      <c r="F114" t="s">
        <v>256</v>
      </c>
      <c r="G114" t="s">
        <v>257</v>
      </c>
      <c r="H114" t="s">
        <v>254</v>
      </c>
      <c r="I114">
        <f>I112*J114</f>
        <v>7.392E-2</v>
      </c>
      <c r="J114">
        <v>0.16</v>
      </c>
      <c r="O114">
        <f t="shared" si="117"/>
        <v>323.27999999999997</v>
      </c>
      <c r="P114">
        <f t="shared" si="118"/>
        <v>323.27999999999997</v>
      </c>
      <c r="Q114">
        <f t="shared" si="119"/>
        <v>0</v>
      </c>
      <c r="R114">
        <f t="shared" si="120"/>
        <v>0</v>
      </c>
      <c r="S114">
        <f t="shared" si="121"/>
        <v>0</v>
      </c>
      <c r="T114">
        <f t="shared" si="122"/>
        <v>0</v>
      </c>
      <c r="U114">
        <f t="shared" si="123"/>
        <v>0</v>
      </c>
      <c r="V114">
        <f t="shared" si="124"/>
        <v>0</v>
      </c>
      <c r="W114">
        <f t="shared" si="125"/>
        <v>0</v>
      </c>
      <c r="X114">
        <f t="shared" si="126"/>
        <v>0</v>
      </c>
      <c r="Y114">
        <f t="shared" si="127"/>
        <v>0</v>
      </c>
      <c r="AA114">
        <v>16808636</v>
      </c>
      <c r="AB114">
        <f t="shared" si="128"/>
        <v>651.78</v>
      </c>
      <c r="AC114">
        <f t="shared" si="129"/>
        <v>651.78</v>
      </c>
      <c r="AD114">
        <f>ROUND((((ET114)-(EU114))+AE114),2)</f>
        <v>0</v>
      </c>
      <c r="AE114">
        <f t="shared" si="152"/>
        <v>0</v>
      </c>
      <c r="AF114">
        <f t="shared" si="152"/>
        <v>0</v>
      </c>
      <c r="AG114">
        <f t="shared" si="130"/>
        <v>0</v>
      </c>
      <c r="AH114">
        <f t="shared" si="153"/>
        <v>0</v>
      </c>
      <c r="AI114">
        <f t="shared" si="153"/>
        <v>0</v>
      </c>
      <c r="AJ114">
        <f t="shared" si="131"/>
        <v>0</v>
      </c>
      <c r="AK114">
        <v>651.78</v>
      </c>
      <c r="AL114">
        <v>651.78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111</v>
      </c>
      <c r="AU114">
        <v>64</v>
      </c>
      <c r="AV114">
        <v>1</v>
      </c>
      <c r="AW114">
        <v>1</v>
      </c>
      <c r="AZ114">
        <v>6.71</v>
      </c>
      <c r="BA114">
        <v>1</v>
      </c>
      <c r="BB114">
        <v>1</v>
      </c>
      <c r="BC114">
        <v>6.71</v>
      </c>
      <c r="BD114" t="s">
        <v>6</v>
      </c>
      <c r="BE114" t="s">
        <v>6</v>
      </c>
      <c r="BF114" t="s">
        <v>6</v>
      </c>
      <c r="BG114" t="s">
        <v>6</v>
      </c>
      <c r="BH114">
        <v>3</v>
      </c>
      <c r="BI114">
        <v>1</v>
      </c>
      <c r="BJ114" t="s">
        <v>258</v>
      </c>
      <c r="BM114">
        <v>11001</v>
      </c>
      <c r="BN114">
        <v>0</v>
      </c>
      <c r="BO114" t="s">
        <v>6</v>
      </c>
      <c r="BP114">
        <v>0</v>
      </c>
      <c r="BQ114">
        <v>2</v>
      </c>
      <c r="BR114">
        <v>0</v>
      </c>
      <c r="BS114">
        <v>1</v>
      </c>
      <c r="BT114">
        <v>1</v>
      </c>
      <c r="BU114">
        <v>1</v>
      </c>
      <c r="BV114">
        <v>1</v>
      </c>
      <c r="BW114">
        <v>1</v>
      </c>
      <c r="BX114">
        <v>1</v>
      </c>
      <c r="BY114" t="s">
        <v>6</v>
      </c>
      <c r="BZ114">
        <v>123</v>
      </c>
      <c r="CA114">
        <v>75</v>
      </c>
      <c r="CE114">
        <v>0</v>
      </c>
      <c r="CF114">
        <v>0</v>
      </c>
      <c r="CG114">
        <v>0</v>
      </c>
      <c r="CM114">
        <v>0</v>
      </c>
      <c r="CN114" t="s">
        <v>6</v>
      </c>
      <c r="CO114">
        <v>0</v>
      </c>
      <c r="CP114">
        <f t="shared" si="132"/>
        <v>323.27999999999997</v>
      </c>
      <c r="CQ114">
        <f t="shared" si="133"/>
        <v>4373.4438</v>
      </c>
      <c r="CR114">
        <f t="shared" si="134"/>
        <v>0</v>
      </c>
      <c r="CS114">
        <f t="shared" si="135"/>
        <v>0</v>
      </c>
      <c r="CT114">
        <f t="shared" si="136"/>
        <v>0</v>
      </c>
      <c r="CU114">
        <f t="shared" si="137"/>
        <v>0</v>
      </c>
      <c r="CV114">
        <f t="shared" si="138"/>
        <v>0</v>
      </c>
      <c r="CW114">
        <f t="shared" si="139"/>
        <v>0</v>
      </c>
      <c r="CX114">
        <f t="shared" si="140"/>
        <v>0</v>
      </c>
      <c r="CY114">
        <f t="shared" si="141"/>
        <v>0</v>
      </c>
      <c r="CZ114">
        <f t="shared" si="142"/>
        <v>0</v>
      </c>
      <c r="DC114" t="s">
        <v>6</v>
      </c>
      <c r="DD114" t="s">
        <v>6</v>
      </c>
      <c r="DE114" t="s">
        <v>6</v>
      </c>
      <c r="DF114" t="s">
        <v>6</v>
      </c>
      <c r="DG114" t="s">
        <v>6</v>
      </c>
      <c r="DH114" t="s">
        <v>6</v>
      </c>
      <c r="DI114" t="s">
        <v>6</v>
      </c>
      <c r="DJ114" t="s">
        <v>6</v>
      </c>
      <c r="DK114" t="s">
        <v>6</v>
      </c>
      <c r="DL114" t="s">
        <v>6</v>
      </c>
      <c r="DM114" t="s">
        <v>6</v>
      </c>
      <c r="DN114">
        <v>0</v>
      </c>
      <c r="DO114">
        <v>0</v>
      </c>
      <c r="DP114">
        <v>1</v>
      </c>
      <c r="DQ114">
        <v>1</v>
      </c>
      <c r="DU114">
        <v>1007</v>
      </c>
      <c r="DV114" t="s">
        <v>254</v>
      </c>
      <c r="DW114" t="s">
        <v>254</v>
      </c>
      <c r="DX114">
        <v>1</v>
      </c>
      <c r="EE114">
        <v>16510488</v>
      </c>
      <c r="EF114">
        <v>2</v>
      </c>
      <c r="EG114" t="s">
        <v>20</v>
      </c>
      <c r="EH114">
        <v>0</v>
      </c>
      <c r="EI114" t="s">
        <v>6</v>
      </c>
      <c r="EJ114">
        <v>1</v>
      </c>
      <c r="EK114">
        <v>11001</v>
      </c>
      <c r="EL114" t="s">
        <v>75</v>
      </c>
      <c r="EM114" t="s">
        <v>83</v>
      </c>
      <c r="EO114" t="s">
        <v>6</v>
      </c>
      <c r="EQ114">
        <v>0</v>
      </c>
      <c r="ER114">
        <v>651.78</v>
      </c>
      <c r="ES114">
        <v>651.78</v>
      </c>
      <c r="ET114">
        <v>0</v>
      </c>
      <c r="EU114">
        <v>0</v>
      </c>
      <c r="EV114">
        <v>0</v>
      </c>
      <c r="EW114">
        <v>0</v>
      </c>
      <c r="EX114">
        <v>0</v>
      </c>
      <c r="FQ114">
        <v>0</v>
      </c>
      <c r="FR114">
        <f t="shared" si="143"/>
        <v>0</v>
      </c>
      <c r="FS114">
        <v>0</v>
      </c>
      <c r="FT114" t="s">
        <v>23</v>
      </c>
      <c r="FU114" t="s">
        <v>24</v>
      </c>
      <c r="FX114">
        <v>110.7</v>
      </c>
      <c r="FY114">
        <v>63.75</v>
      </c>
      <c r="GA114" t="s">
        <v>6</v>
      </c>
      <c r="GD114">
        <v>0</v>
      </c>
      <c r="GF114">
        <v>121454568</v>
      </c>
      <c r="GG114">
        <v>1</v>
      </c>
      <c r="GH114">
        <v>1</v>
      </c>
      <c r="GI114">
        <v>4</v>
      </c>
      <c r="GJ114">
        <v>0</v>
      </c>
      <c r="GK114">
        <f>ROUND(R114*(R12)/100,2)</f>
        <v>0</v>
      </c>
      <c r="GL114">
        <f t="shared" si="144"/>
        <v>0</v>
      </c>
      <c r="GM114">
        <f t="shared" si="145"/>
        <v>323.27999999999997</v>
      </c>
      <c r="GN114">
        <f t="shared" si="146"/>
        <v>323.27999999999997</v>
      </c>
      <c r="GO114">
        <f t="shared" si="147"/>
        <v>0</v>
      </c>
      <c r="GP114">
        <f t="shared" si="148"/>
        <v>0</v>
      </c>
      <c r="GR114">
        <v>0</v>
      </c>
      <c r="GS114">
        <v>3</v>
      </c>
      <c r="GT114">
        <v>0</v>
      </c>
      <c r="GU114" t="s">
        <v>6</v>
      </c>
      <c r="GV114">
        <f t="shared" si="149"/>
        <v>0</v>
      </c>
      <c r="GW114">
        <v>1</v>
      </c>
      <c r="GX114">
        <f t="shared" si="150"/>
        <v>0</v>
      </c>
      <c r="HA114">
        <v>0</v>
      </c>
      <c r="HB114">
        <v>0</v>
      </c>
      <c r="HC114">
        <f t="shared" si="151"/>
        <v>0</v>
      </c>
      <c r="IK114">
        <v>0</v>
      </c>
    </row>
    <row r="115" spans="1:245" x14ac:dyDescent="0.2">
      <c r="A115">
        <v>18</v>
      </c>
      <c r="B115">
        <v>1</v>
      </c>
      <c r="C115">
        <v>168</v>
      </c>
      <c r="E115" t="s">
        <v>308</v>
      </c>
      <c r="F115" t="s">
        <v>309</v>
      </c>
      <c r="G115" t="s">
        <v>310</v>
      </c>
      <c r="H115" t="s">
        <v>202</v>
      </c>
      <c r="I115">
        <f>I112*J115</f>
        <v>46.661999999999999</v>
      </c>
      <c r="J115">
        <v>101</v>
      </c>
      <c r="O115">
        <f t="shared" si="117"/>
        <v>0</v>
      </c>
      <c r="P115">
        <f t="shared" si="118"/>
        <v>0</v>
      </c>
      <c r="Q115">
        <f t="shared" si="119"/>
        <v>0</v>
      </c>
      <c r="R115">
        <f t="shared" si="120"/>
        <v>0</v>
      </c>
      <c r="S115">
        <f t="shared" si="121"/>
        <v>0</v>
      </c>
      <c r="T115">
        <f t="shared" si="122"/>
        <v>0</v>
      </c>
      <c r="U115">
        <f t="shared" si="123"/>
        <v>0</v>
      </c>
      <c r="V115">
        <f t="shared" si="124"/>
        <v>0</v>
      </c>
      <c r="W115">
        <f t="shared" si="125"/>
        <v>0</v>
      </c>
      <c r="X115">
        <f t="shared" si="126"/>
        <v>0</v>
      </c>
      <c r="Y115">
        <f t="shared" si="127"/>
        <v>0</v>
      </c>
      <c r="AA115">
        <v>16808636</v>
      </c>
      <c r="AB115">
        <f t="shared" si="128"/>
        <v>0</v>
      </c>
      <c r="AC115">
        <f t="shared" si="129"/>
        <v>0</v>
      </c>
      <c r="AD115">
        <f>ROUND((((ET115)-(EU115))+AE115),2)</f>
        <v>0</v>
      </c>
      <c r="AE115">
        <f t="shared" si="152"/>
        <v>0</v>
      </c>
      <c r="AF115">
        <f t="shared" si="152"/>
        <v>0</v>
      </c>
      <c r="AG115">
        <f t="shared" si="130"/>
        <v>0</v>
      </c>
      <c r="AH115">
        <f t="shared" si="153"/>
        <v>0</v>
      </c>
      <c r="AI115">
        <f t="shared" si="153"/>
        <v>0</v>
      </c>
      <c r="AJ115">
        <f t="shared" si="131"/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111</v>
      </c>
      <c r="AU115">
        <v>64</v>
      </c>
      <c r="AV115">
        <v>1</v>
      </c>
      <c r="AW115">
        <v>1</v>
      </c>
      <c r="AZ115">
        <v>6.71</v>
      </c>
      <c r="BA115">
        <v>1</v>
      </c>
      <c r="BB115">
        <v>1</v>
      </c>
      <c r="BC115">
        <v>6.71</v>
      </c>
      <c r="BD115" t="s">
        <v>6</v>
      </c>
      <c r="BE115" t="s">
        <v>6</v>
      </c>
      <c r="BF115" t="s">
        <v>6</v>
      </c>
      <c r="BG115" t="s">
        <v>6</v>
      </c>
      <c r="BH115">
        <v>3</v>
      </c>
      <c r="BI115">
        <v>1</v>
      </c>
      <c r="BJ115" t="s">
        <v>6</v>
      </c>
      <c r="BM115">
        <v>11001</v>
      </c>
      <c r="BN115">
        <v>0</v>
      </c>
      <c r="BO115" t="s">
        <v>6</v>
      </c>
      <c r="BP115">
        <v>0</v>
      </c>
      <c r="BQ115">
        <v>2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6</v>
      </c>
      <c r="BZ115">
        <v>123</v>
      </c>
      <c r="CA115">
        <v>75</v>
      </c>
      <c r="CE115">
        <v>0</v>
      </c>
      <c r="CF115">
        <v>0</v>
      </c>
      <c r="CG115">
        <v>0</v>
      </c>
      <c r="CM115">
        <v>0</v>
      </c>
      <c r="CN115" t="s">
        <v>6</v>
      </c>
      <c r="CO115">
        <v>0</v>
      </c>
      <c r="CP115">
        <f t="shared" si="132"/>
        <v>0</v>
      </c>
      <c r="CQ115">
        <f t="shared" si="133"/>
        <v>0</v>
      </c>
      <c r="CR115">
        <f t="shared" si="134"/>
        <v>0</v>
      </c>
      <c r="CS115">
        <f t="shared" si="135"/>
        <v>0</v>
      </c>
      <c r="CT115">
        <f t="shared" si="136"/>
        <v>0</v>
      </c>
      <c r="CU115">
        <f t="shared" si="137"/>
        <v>0</v>
      </c>
      <c r="CV115">
        <f t="shared" si="138"/>
        <v>0</v>
      </c>
      <c r="CW115">
        <f t="shared" si="139"/>
        <v>0</v>
      </c>
      <c r="CX115">
        <f t="shared" si="140"/>
        <v>0</v>
      </c>
      <c r="CY115">
        <f t="shared" si="141"/>
        <v>0</v>
      </c>
      <c r="CZ115">
        <f t="shared" si="142"/>
        <v>0</v>
      </c>
      <c r="DC115" t="s">
        <v>6</v>
      </c>
      <c r="DD115" t="s">
        <v>6</v>
      </c>
      <c r="DE115" t="s">
        <v>6</v>
      </c>
      <c r="DF115" t="s">
        <v>6</v>
      </c>
      <c r="DG115" t="s">
        <v>6</v>
      </c>
      <c r="DH115" t="s">
        <v>6</v>
      </c>
      <c r="DI115" t="s">
        <v>6</v>
      </c>
      <c r="DJ115" t="s">
        <v>6</v>
      </c>
      <c r="DK115" t="s">
        <v>6</v>
      </c>
      <c r="DL115" t="s">
        <v>6</v>
      </c>
      <c r="DM115" t="s">
        <v>6</v>
      </c>
      <c r="DN115">
        <v>0</v>
      </c>
      <c r="DO115">
        <v>0</v>
      </c>
      <c r="DP115">
        <v>1</v>
      </c>
      <c r="DQ115">
        <v>1</v>
      </c>
      <c r="DU115">
        <v>1003</v>
      </c>
      <c r="DV115" t="s">
        <v>202</v>
      </c>
      <c r="DW115" t="s">
        <v>202</v>
      </c>
      <c r="DX115">
        <v>1</v>
      </c>
      <c r="EE115">
        <v>16510488</v>
      </c>
      <c r="EF115">
        <v>2</v>
      </c>
      <c r="EG115" t="s">
        <v>20</v>
      </c>
      <c r="EH115">
        <v>0</v>
      </c>
      <c r="EI115" t="s">
        <v>6</v>
      </c>
      <c r="EJ115">
        <v>1</v>
      </c>
      <c r="EK115">
        <v>11001</v>
      </c>
      <c r="EL115" t="s">
        <v>75</v>
      </c>
      <c r="EM115" t="s">
        <v>83</v>
      </c>
      <c r="EO115" t="s">
        <v>6</v>
      </c>
      <c r="EQ115">
        <v>0</v>
      </c>
      <c r="ER115">
        <v>0</v>
      </c>
      <c r="ES115">
        <v>0</v>
      </c>
      <c r="ET115">
        <v>0</v>
      </c>
      <c r="EU115">
        <v>0</v>
      </c>
      <c r="EV115">
        <v>0</v>
      </c>
      <c r="EW115">
        <v>0</v>
      </c>
      <c r="EX115">
        <v>0</v>
      </c>
      <c r="FQ115">
        <v>0</v>
      </c>
      <c r="FR115">
        <f t="shared" si="143"/>
        <v>0</v>
      </c>
      <c r="FS115">
        <v>0</v>
      </c>
      <c r="FT115" t="s">
        <v>23</v>
      </c>
      <c r="FU115" t="s">
        <v>24</v>
      </c>
      <c r="FX115">
        <v>110.7</v>
      </c>
      <c r="FY115">
        <v>63.75</v>
      </c>
      <c r="GA115" t="s">
        <v>6</v>
      </c>
      <c r="GD115">
        <v>0</v>
      </c>
      <c r="GF115">
        <v>1949164399</v>
      </c>
      <c r="GG115">
        <v>1</v>
      </c>
      <c r="GH115">
        <v>1</v>
      </c>
      <c r="GI115">
        <v>4</v>
      </c>
      <c r="GJ115">
        <v>0</v>
      </c>
      <c r="GK115">
        <f>ROUND(R115*(R12)/100,2)</f>
        <v>0</v>
      </c>
      <c r="GL115">
        <f t="shared" si="144"/>
        <v>0</v>
      </c>
      <c r="GM115">
        <f t="shared" si="145"/>
        <v>0</v>
      </c>
      <c r="GN115">
        <f t="shared" si="146"/>
        <v>0</v>
      </c>
      <c r="GO115">
        <f t="shared" si="147"/>
        <v>0</v>
      </c>
      <c r="GP115">
        <f t="shared" si="148"/>
        <v>0</v>
      </c>
      <c r="GR115">
        <v>0</v>
      </c>
      <c r="GS115">
        <v>3</v>
      </c>
      <c r="GT115">
        <v>0</v>
      </c>
      <c r="GU115" t="s">
        <v>6</v>
      </c>
      <c r="GV115">
        <f t="shared" si="149"/>
        <v>0</v>
      </c>
      <c r="GW115">
        <v>1</v>
      </c>
      <c r="GX115">
        <f t="shared" si="150"/>
        <v>0</v>
      </c>
      <c r="HA115">
        <v>0</v>
      </c>
      <c r="HB115">
        <v>0</v>
      </c>
      <c r="HC115">
        <f t="shared" si="151"/>
        <v>0</v>
      </c>
      <c r="IK115">
        <v>0</v>
      </c>
    </row>
    <row r="116" spans="1:245" x14ac:dyDescent="0.2">
      <c r="A116">
        <v>18</v>
      </c>
      <c r="B116">
        <v>1</v>
      </c>
      <c r="C116">
        <v>169</v>
      </c>
      <c r="E116" t="s">
        <v>311</v>
      </c>
      <c r="F116" t="s">
        <v>312</v>
      </c>
      <c r="G116" t="s">
        <v>313</v>
      </c>
      <c r="H116" t="s">
        <v>202</v>
      </c>
      <c r="I116">
        <f>I112*J116</f>
        <v>46.661999999999999</v>
      </c>
      <c r="J116">
        <v>101</v>
      </c>
      <c r="O116">
        <f t="shared" si="117"/>
        <v>7429.91</v>
      </c>
      <c r="P116">
        <f t="shared" si="118"/>
        <v>7429.91</v>
      </c>
      <c r="Q116">
        <f t="shared" si="119"/>
        <v>0</v>
      </c>
      <c r="R116">
        <f t="shared" si="120"/>
        <v>0</v>
      </c>
      <c r="S116">
        <f t="shared" si="121"/>
        <v>0</v>
      </c>
      <c r="T116">
        <f t="shared" si="122"/>
        <v>0</v>
      </c>
      <c r="U116">
        <f t="shared" si="123"/>
        <v>0</v>
      </c>
      <c r="V116">
        <f t="shared" si="124"/>
        <v>0</v>
      </c>
      <c r="W116">
        <f t="shared" si="125"/>
        <v>0</v>
      </c>
      <c r="X116">
        <f t="shared" si="126"/>
        <v>0</v>
      </c>
      <c r="Y116">
        <f t="shared" si="127"/>
        <v>0</v>
      </c>
      <c r="AA116">
        <v>16808636</v>
      </c>
      <c r="AB116">
        <f t="shared" si="128"/>
        <v>23.73</v>
      </c>
      <c r="AC116">
        <f t="shared" si="129"/>
        <v>23.73</v>
      </c>
      <c r="AD116">
        <f>ROUND((((ET116)-(EU116))+AE116),2)</f>
        <v>0</v>
      </c>
      <c r="AE116">
        <f t="shared" si="152"/>
        <v>0</v>
      </c>
      <c r="AF116">
        <f t="shared" si="152"/>
        <v>0</v>
      </c>
      <c r="AG116">
        <f t="shared" si="130"/>
        <v>0</v>
      </c>
      <c r="AH116">
        <f t="shared" si="153"/>
        <v>0</v>
      </c>
      <c r="AI116">
        <f t="shared" si="153"/>
        <v>0</v>
      </c>
      <c r="AJ116">
        <f t="shared" si="131"/>
        <v>0</v>
      </c>
      <c r="AK116">
        <v>23.73</v>
      </c>
      <c r="AL116">
        <v>23.73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111</v>
      </c>
      <c r="AU116">
        <v>64</v>
      </c>
      <c r="AV116">
        <v>1</v>
      </c>
      <c r="AW116">
        <v>1</v>
      </c>
      <c r="AZ116">
        <v>6.71</v>
      </c>
      <c r="BA116">
        <v>1</v>
      </c>
      <c r="BB116">
        <v>1</v>
      </c>
      <c r="BC116">
        <v>6.71</v>
      </c>
      <c r="BD116" t="s">
        <v>6</v>
      </c>
      <c r="BE116" t="s">
        <v>6</v>
      </c>
      <c r="BF116" t="s">
        <v>6</v>
      </c>
      <c r="BG116" t="s">
        <v>6</v>
      </c>
      <c r="BH116">
        <v>3</v>
      </c>
      <c r="BI116">
        <v>1</v>
      </c>
      <c r="BJ116" t="s">
        <v>314</v>
      </c>
      <c r="BM116">
        <v>11001</v>
      </c>
      <c r="BN116">
        <v>0</v>
      </c>
      <c r="BO116" t="s">
        <v>6</v>
      </c>
      <c r="BP116">
        <v>0</v>
      </c>
      <c r="BQ116">
        <v>2</v>
      </c>
      <c r="BR116">
        <v>0</v>
      </c>
      <c r="BS116">
        <v>1</v>
      </c>
      <c r="BT116">
        <v>1</v>
      </c>
      <c r="BU116">
        <v>1</v>
      </c>
      <c r="BV116">
        <v>1</v>
      </c>
      <c r="BW116">
        <v>1</v>
      </c>
      <c r="BX116">
        <v>1</v>
      </c>
      <c r="BY116" t="s">
        <v>6</v>
      </c>
      <c r="BZ116">
        <v>123</v>
      </c>
      <c r="CA116">
        <v>75</v>
      </c>
      <c r="CE116">
        <v>0</v>
      </c>
      <c r="CF116">
        <v>0</v>
      </c>
      <c r="CG116">
        <v>0</v>
      </c>
      <c r="CM116">
        <v>0</v>
      </c>
      <c r="CN116" t="s">
        <v>6</v>
      </c>
      <c r="CO116">
        <v>0</v>
      </c>
      <c r="CP116">
        <f t="shared" si="132"/>
        <v>7429.91</v>
      </c>
      <c r="CQ116">
        <f t="shared" si="133"/>
        <v>159.22829999999999</v>
      </c>
      <c r="CR116">
        <f t="shared" si="134"/>
        <v>0</v>
      </c>
      <c r="CS116">
        <f t="shared" si="135"/>
        <v>0</v>
      </c>
      <c r="CT116">
        <f t="shared" si="136"/>
        <v>0</v>
      </c>
      <c r="CU116">
        <f t="shared" si="137"/>
        <v>0</v>
      </c>
      <c r="CV116">
        <f t="shared" si="138"/>
        <v>0</v>
      </c>
      <c r="CW116">
        <f t="shared" si="139"/>
        <v>0</v>
      </c>
      <c r="CX116">
        <f t="shared" si="140"/>
        <v>0</v>
      </c>
      <c r="CY116">
        <f t="shared" si="141"/>
        <v>0</v>
      </c>
      <c r="CZ116">
        <f t="shared" si="142"/>
        <v>0</v>
      </c>
      <c r="DC116" t="s">
        <v>6</v>
      </c>
      <c r="DD116" t="s">
        <v>6</v>
      </c>
      <c r="DE116" t="s">
        <v>6</v>
      </c>
      <c r="DF116" t="s">
        <v>6</v>
      </c>
      <c r="DG116" t="s">
        <v>6</v>
      </c>
      <c r="DH116" t="s">
        <v>6</v>
      </c>
      <c r="DI116" t="s">
        <v>6</v>
      </c>
      <c r="DJ116" t="s">
        <v>6</v>
      </c>
      <c r="DK116" t="s">
        <v>6</v>
      </c>
      <c r="DL116" t="s">
        <v>6</v>
      </c>
      <c r="DM116" t="s">
        <v>6</v>
      </c>
      <c r="DN116">
        <v>0</v>
      </c>
      <c r="DO116">
        <v>0</v>
      </c>
      <c r="DP116">
        <v>1</v>
      </c>
      <c r="DQ116">
        <v>1</v>
      </c>
      <c r="DU116">
        <v>1003</v>
      </c>
      <c r="DV116" t="s">
        <v>202</v>
      </c>
      <c r="DW116" t="s">
        <v>202</v>
      </c>
      <c r="DX116">
        <v>1</v>
      </c>
      <c r="EE116">
        <v>16510488</v>
      </c>
      <c r="EF116">
        <v>2</v>
      </c>
      <c r="EG116" t="s">
        <v>20</v>
      </c>
      <c r="EH116">
        <v>0</v>
      </c>
      <c r="EI116" t="s">
        <v>6</v>
      </c>
      <c r="EJ116">
        <v>1</v>
      </c>
      <c r="EK116">
        <v>11001</v>
      </c>
      <c r="EL116" t="s">
        <v>75</v>
      </c>
      <c r="EM116" t="s">
        <v>83</v>
      </c>
      <c r="EO116" t="s">
        <v>6</v>
      </c>
      <c r="EQ116">
        <v>0</v>
      </c>
      <c r="ER116">
        <v>23.73</v>
      </c>
      <c r="ES116">
        <v>23.73</v>
      </c>
      <c r="ET116">
        <v>0</v>
      </c>
      <c r="EU116">
        <v>0</v>
      </c>
      <c r="EV116">
        <v>0</v>
      </c>
      <c r="EW116">
        <v>0</v>
      </c>
      <c r="EX116">
        <v>0</v>
      </c>
      <c r="FQ116">
        <v>0</v>
      </c>
      <c r="FR116">
        <f t="shared" si="143"/>
        <v>0</v>
      </c>
      <c r="FS116">
        <v>0</v>
      </c>
      <c r="FT116" t="s">
        <v>23</v>
      </c>
      <c r="FU116" t="s">
        <v>24</v>
      </c>
      <c r="FX116">
        <v>110.7</v>
      </c>
      <c r="FY116">
        <v>63.75</v>
      </c>
      <c r="GA116" t="s">
        <v>6</v>
      </c>
      <c r="GD116">
        <v>0</v>
      </c>
      <c r="GF116">
        <v>831643793</v>
      </c>
      <c r="GG116">
        <v>1</v>
      </c>
      <c r="GH116">
        <v>1</v>
      </c>
      <c r="GI116">
        <v>4</v>
      </c>
      <c r="GJ116">
        <v>0</v>
      </c>
      <c r="GK116">
        <f>ROUND(R116*(R12)/100,2)</f>
        <v>0</v>
      </c>
      <c r="GL116">
        <f t="shared" si="144"/>
        <v>0</v>
      </c>
      <c r="GM116">
        <f t="shared" si="145"/>
        <v>7429.91</v>
      </c>
      <c r="GN116">
        <f t="shared" si="146"/>
        <v>7429.91</v>
      </c>
      <c r="GO116">
        <f t="shared" si="147"/>
        <v>0</v>
      </c>
      <c r="GP116">
        <f t="shared" si="148"/>
        <v>0</v>
      </c>
      <c r="GR116">
        <v>0</v>
      </c>
      <c r="GS116">
        <v>3</v>
      </c>
      <c r="GT116">
        <v>0</v>
      </c>
      <c r="GU116" t="s">
        <v>6</v>
      </c>
      <c r="GV116">
        <f t="shared" si="149"/>
        <v>0</v>
      </c>
      <c r="GW116">
        <v>1</v>
      </c>
      <c r="GX116">
        <f t="shared" si="150"/>
        <v>0</v>
      </c>
      <c r="HA116">
        <v>0</v>
      </c>
      <c r="HB116">
        <v>0</v>
      </c>
      <c r="HC116">
        <f t="shared" si="151"/>
        <v>0</v>
      </c>
      <c r="IK116">
        <v>0</v>
      </c>
    </row>
    <row r="117" spans="1:245" x14ac:dyDescent="0.2">
      <c r="A117">
        <v>17</v>
      </c>
      <c r="B117">
        <v>1</v>
      </c>
      <c r="C117">
        <f>ROW(SmtRes!A187)</f>
        <v>187</v>
      </c>
      <c r="D117">
        <f>ROW(EtalonRes!A176)</f>
        <v>176</v>
      </c>
      <c r="E117" t="s">
        <v>315</v>
      </c>
      <c r="F117" t="s">
        <v>316</v>
      </c>
      <c r="G117" t="s">
        <v>317</v>
      </c>
      <c r="H117" t="s">
        <v>40</v>
      </c>
      <c r="I117">
        <f>ROUND(107.5/100,9)</f>
        <v>1.075</v>
      </c>
      <c r="J117">
        <v>0</v>
      </c>
      <c r="O117">
        <f t="shared" si="117"/>
        <v>1164.6500000000001</v>
      </c>
      <c r="P117">
        <f t="shared" si="118"/>
        <v>531.17999999999995</v>
      </c>
      <c r="Q117">
        <f t="shared" si="119"/>
        <v>23.08</v>
      </c>
      <c r="R117">
        <f t="shared" si="120"/>
        <v>4.54</v>
      </c>
      <c r="S117">
        <f t="shared" si="121"/>
        <v>610.39</v>
      </c>
      <c r="T117">
        <f t="shared" si="122"/>
        <v>0</v>
      </c>
      <c r="U117">
        <f t="shared" si="123"/>
        <v>9.9097799999999978</v>
      </c>
      <c r="V117">
        <f t="shared" si="124"/>
        <v>6.4500000000000002E-2</v>
      </c>
      <c r="W117">
        <f t="shared" si="125"/>
        <v>0</v>
      </c>
      <c r="X117">
        <f t="shared" si="126"/>
        <v>682.57</v>
      </c>
      <c r="Y117">
        <f t="shared" si="127"/>
        <v>393.56</v>
      </c>
      <c r="AA117">
        <v>16808636</v>
      </c>
      <c r="AB117">
        <f t="shared" si="128"/>
        <v>161.46</v>
      </c>
      <c r="AC117">
        <f t="shared" si="129"/>
        <v>73.64</v>
      </c>
      <c r="AD117">
        <f>ROUND((((((ET117*1.25)*1.2))-(((EU117*1.25)*1.2)))+AE117),2)</f>
        <v>3.2</v>
      </c>
      <c r="AE117">
        <f>ROUND((((EU117*1.25)*1.2)),2)</f>
        <v>0.63</v>
      </c>
      <c r="AF117">
        <f>ROUND((((EV117*1.15)*1.2)),2)</f>
        <v>84.62</v>
      </c>
      <c r="AG117">
        <f t="shared" si="130"/>
        <v>0</v>
      </c>
      <c r="AH117">
        <f>(((EW117*1.15)*1.2))</f>
        <v>9.218399999999999</v>
      </c>
      <c r="AI117">
        <f>(((EX117*1.25)*1.2))</f>
        <v>0.06</v>
      </c>
      <c r="AJ117">
        <f t="shared" si="131"/>
        <v>0</v>
      </c>
      <c r="AK117">
        <v>137.09</v>
      </c>
      <c r="AL117">
        <v>73.64</v>
      </c>
      <c r="AM117">
        <v>2.13</v>
      </c>
      <c r="AN117">
        <v>0.42</v>
      </c>
      <c r="AO117">
        <v>61.32</v>
      </c>
      <c r="AP117">
        <v>0</v>
      </c>
      <c r="AQ117">
        <v>6.68</v>
      </c>
      <c r="AR117">
        <v>0.04</v>
      </c>
      <c r="AS117">
        <v>0</v>
      </c>
      <c r="AT117">
        <v>111</v>
      </c>
      <c r="AU117">
        <v>64</v>
      </c>
      <c r="AV117">
        <v>1</v>
      </c>
      <c r="AW117">
        <v>1</v>
      </c>
      <c r="AZ117">
        <v>6.71</v>
      </c>
      <c r="BA117">
        <v>6.71</v>
      </c>
      <c r="BB117">
        <v>6.71</v>
      </c>
      <c r="BC117">
        <v>6.71</v>
      </c>
      <c r="BD117" t="s">
        <v>6</v>
      </c>
      <c r="BE117" t="s">
        <v>6</v>
      </c>
      <c r="BF117" t="s">
        <v>6</v>
      </c>
      <c r="BG117" t="s">
        <v>6</v>
      </c>
      <c r="BH117">
        <v>0</v>
      </c>
      <c r="BI117">
        <v>1</v>
      </c>
      <c r="BJ117" t="s">
        <v>318</v>
      </c>
      <c r="BM117">
        <v>11001</v>
      </c>
      <c r="BN117">
        <v>0</v>
      </c>
      <c r="BO117" t="s">
        <v>6</v>
      </c>
      <c r="BP117">
        <v>0</v>
      </c>
      <c r="BQ117">
        <v>2</v>
      </c>
      <c r="BR117">
        <v>0</v>
      </c>
      <c r="BS117">
        <v>6.71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6</v>
      </c>
      <c r="BZ117">
        <v>123</v>
      </c>
      <c r="CA117">
        <v>75</v>
      </c>
      <c r="CE117">
        <v>0</v>
      </c>
      <c r="CF117">
        <v>0</v>
      </c>
      <c r="CG117">
        <v>0</v>
      </c>
      <c r="CM117">
        <v>0</v>
      </c>
      <c r="CN117" t="s">
        <v>1057</v>
      </c>
      <c r="CO117">
        <v>0</v>
      </c>
      <c r="CP117">
        <f t="shared" si="132"/>
        <v>1164.6500000000001</v>
      </c>
      <c r="CQ117">
        <f t="shared" si="133"/>
        <v>494.12439999999998</v>
      </c>
      <c r="CR117">
        <f t="shared" si="134"/>
        <v>21.472000000000001</v>
      </c>
      <c r="CS117">
        <f t="shared" si="135"/>
        <v>4.2272999999999996</v>
      </c>
      <c r="CT117">
        <f t="shared" si="136"/>
        <v>567.80020000000002</v>
      </c>
      <c r="CU117">
        <f t="shared" si="137"/>
        <v>0</v>
      </c>
      <c r="CV117">
        <f t="shared" si="138"/>
        <v>9.218399999999999</v>
      </c>
      <c r="CW117">
        <f t="shared" si="139"/>
        <v>0.06</v>
      </c>
      <c r="CX117">
        <f t="shared" si="140"/>
        <v>0</v>
      </c>
      <c r="CY117">
        <f t="shared" si="141"/>
        <v>682.57229999999993</v>
      </c>
      <c r="CZ117">
        <f t="shared" si="142"/>
        <v>393.55519999999996</v>
      </c>
      <c r="DC117" t="s">
        <v>6</v>
      </c>
      <c r="DD117" t="s">
        <v>6</v>
      </c>
      <c r="DE117" t="s">
        <v>174</v>
      </c>
      <c r="DF117" t="s">
        <v>174</v>
      </c>
      <c r="DG117" t="s">
        <v>175</v>
      </c>
      <c r="DH117" t="s">
        <v>6</v>
      </c>
      <c r="DI117" t="s">
        <v>175</v>
      </c>
      <c r="DJ117" t="s">
        <v>174</v>
      </c>
      <c r="DK117" t="s">
        <v>6</v>
      </c>
      <c r="DL117" t="s">
        <v>6</v>
      </c>
      <c r="DM117" t="s">
        <v>6</v>
      </c>
      <c r="DN117">
        <v>0</v>
      </c>
      <c r="DO117">
        <v>0</v>
      </c>
      <c r="DP117">
        <v>1</v>
      </c>
      <c r="DQ117">
        <v>1</v>
      </c>
      <c r="DU117">
        <v>1003</v>
      </c>
      <c r="DV117" t="s">
        <v>40</v>
      </c>
      <c r="DW117" t="s">
        <v>40</v>
      </c>
      <c r="DX117">
        <v>100</v>
      </c>
      <c r="EE117">
        <v>16510488</v>
      </c>
      <c r="EF117">
        <v>2</v>
      </c>
      <c r="EG117" t="s">
        <v>20</v>
      </c>
      <c r="EH117">
        <v>0</v>
      </c>
      <c r="EI117" t="s">
        <v>6</v>
      </c>
      <c r="EJ117">
        <v>1</v>
      </c>
      <c r="EK117">
        <v>11001</v>
      </c>
      <c r="EL117" t="s">
        <v>75</v>
      </c>
      <c r="EM117" t="s">
        <v>83</v>
      </c>
      <c r="EO117" t="s">
        <v>178</v>
      </c>
      <c r="EQ117">
        <v>0</v>
      </c>
      <c r="ER117">
        <v>137.09</v>
      </c>
      <c r="ES117">
        <v>73.64</v>
      </c>
      <c r="ET117">
        <v>2.13</v>
      </c>
      <c r="EU117">
        <v>0.42</v>
      </c>
      <c r="EV117">
        <v>61.32</v>
      </c>
      <c r="EW117">
        <v>6.68</v>
      </c>
      <c r="EX117">
        <v>0.04</v>
      </c>
      <c r="EY117">
        <v>0</v>
      </c>
      <c r="FQ117">
        <v>0</v>
      </c>
      <c r="FR117">
        <f t="shared" si="143"/>
        <v>0</v>
      </c>
      <c r="FS117">
        <v>0</v>
      </c>
      <c r="FT117" t="s">
        <v>23</v>
      </c>
      <c r="FU117" t="s">
        <v>24</v>
      </c>
      <c r="FX117">
        <v>110.7</v>
      </c>
      <c r="FY117">
        <v>63.75</v>
      </c>
      <c r="GA117" t="s">
        <v>6</v>
      </c>
      <c r="GD117">
        <v>0</v>
      </c>
      <c r="GF117">
        <v>-1404287246</v>
      </c>
      <c r="GG117">
        <v>1</v>
      </c>
      <c r="GH117">
        <v>1</v>
      </c>
      <c r="GI117">
        <v>4</v>
      </c>
      <c r="GJ117">
        <v>0</v>
      </c>
      <c r="GK117">
        <f>ROUND(R117*(R12)/100,2)</f>
        <v>0</v>
      </c>
      <c r="GL117">
        <f t="shared" si="144"/>
        <v>0</v>
      </c>
      <c r="GM117">
        <f t="shared" si="145"/>
        <v>2240.7800000000002</v>
      </c>
      <c r="GN117">
        <f t="shared" si="146"/>
        <v>2240.7800000000002</v>
      </c>
      <c r="GO117">
        <f t="shared" si="147"/>
        <v>0</v>
      </c>
      <c r="GP117">
        <f t="shared" si="148"/>
        <v>0</v>
      </c>
      <c r="GR117">
        <v>0</v>
      </c>
      <c r="GS117">
        <v>3</v>
      </c>
      <c r="GT117">
        <v>0</v>
      </c>
      <c r="GU117" t="s">
        <v>6</v>
      </c>
      <c r="GV117">
        <f t="shared" si="149"/>
        <v>0</v>
      </c>
      <c r="GW117">
        <v>1</v>
      </c>
      <c r="GX117">
        <f t="shared" si="150"/>
        <v>0</v>
      </c>
      <c r="HA117">
        <v>0</v>
      </c>
      <c r="HB117">
        <v>0</v>
      </c>
      <c r="HC117">
        <f t="shared" si="151"/>
        <v>0</v>
      </c>
      <c r="IK117">
        <v>0</v>
      </c>
    </row>
    <row r="118" spans="1:245" x14ac:dyDescent="0.2">
      <c r="A118">
        <v>18</v>
      </c>
      <c r="B118">
        <v>1</v>
      </c>
      <c r="C118">
        <v>177</v>
      </c>
      <c r="E118" t="s">
        <v>319</v>
      </c>
      <c r="F118" t="s">
        <v>320</v>
      </c>
      <c r="G118" t="s">
        <v>321</v>
      </c>
      <c r="H118" t="s">
        <v>202</v>
      </c>
      <c r="I118">
        <f>I117*J118</f>
        <v>108.57499999999999</v>
      </c>
      <c r="J118">
        <v>101</v>
      </c>
      <c r="O118">
        <f t="shared" si="117"/>
        <v>8961.02</v>
      </c>
      <c r="P118">
        <f t="shared" si="118"/>
        <v>8961.02</v>
      </c>
      <c r="Q118">
        <f t="shared" si="119"/>
        <v>0</v>
      </c>
      <c r="R118">
        <f t="shared" si="120"/>
        <v>0</v>
      </c>
      <c r="S118">
        <f t="shared" si="121"/>
        <v>0</v>
      </c>
      <c r="T118">
        <f t="shared" si="122"/>
        <v>0</v>
      </c>
      <c r="U118">
        <f t="shared" si="123"/>
        <v>0</v>
      </c>
      <c r="V118">
        <f t="shared" si="124"/>
        <v>0</v>
      </c>
      <c r="W118">
        <f t="shared" si="125"/>
        <v>0</v>
      </c>
      <c r="X118">
        <f t="shared" si="126"/>
        <v>0</v>
      </c>
      <c r="Y118">
        <f t="shared" si="127"/>
        <v>0</v>
      </c>
      <c r="AA118">
        <v>16808636</v>
      </c>
      <c r="AB118">
        <f t="shared" si="128"/>
        <v>12.3</v>
      </c>
      <c r="AC118">
        <f t="shared" si="129"/>
        <v>12.3</v>
      </c>
      <c r="AD118">
        <f t="shared" ref="AD118:AD129" si="154">ROUND((((ET118)-(EU118))+AE118),2)</f>
        <v>0</v>
      </c>
      <c r="AE118">
        <f t="shared" ref="AE118:AE129" si="155">ROUND((EU118),2)</f>
        <v>0</v>
      </c>
      <c r="AF118">
        <f t="shared" ref="AF118:AF129" si="156">ROUND((EV118),2)</f>
        <v>0</v>
      </c>
      <c r="AG118">
        <f t="shared" si="130"/>
        <v>0</v>
      </c>
      <c r="AH118">
        <f t="shared" ref="AH118:AH129" si="157">(EW118)</f>
        <v>0</v>
      </c>
      <c r="AI118">
        <f t="shared" ref="AI118:AI129" si="158">(EX118)</f>
        <v>0</v>
      </c>
      <c r="AJ118">
        <f t="shared" si="131"/>
        <v>0</v>
      </c>
      <c r="AK118">
        <v>12.3</v>
      </c>
      <c r="AL118">
        <v>12.3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111</v>
      </c>
      <c r="AU118">
        <v>64</v>
      </c>
      <c r="AV118">
        <v>1</v>
      </c>
      <c r="AW118">
        <v>1</v>
      </c>
      <c r="AZ118">
        <v>6.71</v>
      </c>
      <c r="BA118">
        <v>1</v>
      </c>
      <c r="BB118">
        <v>1</v>
      </c>
      <c r="BC118">
        <v>6.71</v>
      </c>
      <c r="BD118" t="s">
        <v>6</v>
      </c>
      <c r="BE118" t="s">
        <v>6</v>
      </c>
      <c r="BF118" t="s">
        <v>6</v>
      </c>
      <c r="BG118" t="s">
        <v>6</v>
      </c>
      <c r="BH118">
        <v>3</v>
      </c>
      <c r="BI118">
        <v>1</v>
      </c>
      <c r="BJ118" t="s">
        <v>322</v>
      </c>
      <c r="BM118">
        <v>11001</v>
      </c>
      <c r="BN118">
        <v>0</v>
      </c>
      <c r="BO118" t="s">
        <v>6</v>
      </c>
      <c r="BP118">
        <v>0</v>
      </c>
      <c r="BQ118">
        <v>2</v>
      </c>
      <c r="BR118">
        <v>0</v>
      </c>
      <c r="BS118">
        <v>1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6</v>
      </c>
      <c r="BZ118">
        <v>123</v>
      </c>
      <c r="CA118">
        <v>75</v>
      </c>
      <c r="CE118">
        <v>0</v>
      </c>
      <c r="CF118">
        <v>0</v>
      </c>
      <c r="CG118">
        <v>0</v>
      </c>
      <c r="CM118">
        <v>0</v>
      </c>
      <c r="CN118" t="s">
        <v>6</v>
      </c>
      <c r="CO118">
        <v>0</v>
      </c>
      <c r="CP118">
        <f t="shared" si="132"/>
        <v>8961.02</v>
      </c>
      <c r="CQ118">
        <f t="shared" si="133"/>
        <v>82.533000000000001</v>
      </c>
      <c r="CR118">
        <f t="shared" si="134"/>
        <v>0</v>
      </c>
      <c r="CS118">
        <f t="shared" si="135"/>
        <v>0</v>
      </c>
      <c r="CT118">
        <f t="shared" si="136"/>
        <v>0</v>
      </c>
      <c r="CU118">
        <f t="shared" si="137"/>
        <v>0</v>
      </c>
      <c r="CV118">
        <f t="shared" si="138"/>
        <v>0</v>
      </c>
      <c r="CW118">
        <f t="shared" si="139"/>
        <v>0</v>
      </c>
      <c r="CX118">
        <f t="shared" si="140"/>
        <v>0</v>
      </c>
      <c r="CY118">
        <f t="shared" si="141"/>
        <v>0</v>
      </c>
      <c r="CZ118">
        <f t="shared" si="142"/>
        <v>0</v>
      </c>
      <c r="DC118" t="s">
        <v>6</v>
      </c>
      <c r="DD118" t="s">
        <v>6</v>
      </c>
      <c r="DE118" t="s">
        <v>6</v>
      </c>
      <c r="DF118" t="s">
        <v>6</v>
      </c>
      <c r="DG118" t="s">
        <v>6</v>
      </c>
      <c r="DH118" t="s">
        <v>6</v>
      </c>
      <c r="DI118" t="s">
        <v>6</v>
      </c>
      <c r="DJ118" t="s">
        <v>6</v>
      </c>
      <c r="DK118" t="s">
        <v>6</v>
      </c>
      <c r="DL118" t="s">
        <v>6</v>
      </c>
      <c r="DM118" t="s">
        <v>6</v>
      </c>
      <c r="DN118">
        <v>0</v>
      </c>
      <c r="DO118">
        <v>0</v>
      </c>
      <c r="DP118">
        <v>1</v>
      </c>
      <c r="DQ118">
        <v>1</v>
      </c>
      <c r="DU118">
        <v>1003</v>
      </c>
      <c r="DV118" t="s">
        <v>202</v>
      </c>
      <c r="DW118" t="s">
        <v>202</v>
      </c>
      <c r="DX118">
        <v>1</v>
      </c>
      <c r="EE118">
        <v>16510488</v>
      </c>
      <c r="EF118">
        <v>2</v>
      </c>
      <c r="EG118" t="s">
        <v>20</v>
      </c>
      <c r="EH118">
        <v>0</v>
      </c>
      <c r="EI118" t="s">
        <v>6</v>
      </c>
      <c r="EJ118">
        <v>1</v>
      </c>
      <c r="EK118">
        <v>11001</v>
      </c>
      <c r="EL118" t="s">
        <v>75</v>
      </c>
      <c r="EM118" t="s">
        <v>83</v>
      </c>
      <c r="EO118" t="s">
        <v>6</v>
      </c>
      <c r="EQ118">
        <v>0</v>
      </c>
      <c r="ER118">
        <v>12.3</v>
      </c>
      <c r="ES118">
        <v>12.3</v>
      </c>
      <c r="ET118">
        <v>0</v>
      </c>
      <c r="EU118">
        <v>0</v>
      </c>
      <c r="EV118">
        <v>0</v>
      </c>
      <c r="EW118">
        <v>0</v>
      </c>
      <c r="EX118">
        <v>0</v>
      </c>
      <c r="FQ118">
        <v>0</v>
      </c>
      <c r="FR118">
        <f t="shared" si="143"/>
        <v>0</v>
      </c>
      <c r="FS118">
        <v>0</v>
      </c>
      <c r="FT118" t="s">
        <v>23</v>
      </c>
      <c r="FU118" t="s">
        <v>24</v>
      </c>
      <c r="FX118">
        <v>110.7</v>
      </c>
      <c r="FY118">
        <v>63.75</v>
      </c>
      <c r="GA118" t="s">
        <v>6</v>
      </c>
      <c r="GD118">
        <v>0</v>
      </c>
      <c r="GF118">
        <v>26470480</v>
      </c>
      <c r="GG118">
        <v>1</v>
      </c>
      <c r="GH118">
        <v>1</v>
      </c>
      <c r="GI118">
        <v>4</v>
      </c>
      <c r="GJ118">
        <v>0</v>
      </c>
      <c r="GK118">
        <f>ROUND(R118*(R12)/100,2)</f>
        <v>0</v>
      </c>
      <c r="GL118">
        <f t="shared" si="144"/>
        <v>0</v>
      </c>
      <c r="GM118">
        <f t="shared" si="145"/>
        <v>8961.02</v>
      </c>
      <c r="GN118">
        <f t="shared" si="146"/>
        <v>8961.02</v>
      </c>
      <c r="GO118">
        <f t="shared" si="147"/>
        <v>0</v>
      </c>
      <c r="GP118">
        <f t="shared" si="148"/>
        <v>0</v>
      </c>
      <c r="GR118">
        <v>0</v>
      </c>
      <c r="GS118">
        <v>3</v>
      </c>
      <c r="GT118">
        <v>0</v>
      </c>
      <c r="GU118" t="s">
        <v>6</v>
      </c>
      <c r="GV118">
        <f t="shared" si="149"/>
        <v>0</v>
      </c>
      <c r="GW118">
        <v>1</v>
      </c>
      <c r="GX118">
        <f t="shared" si="150"/>
        <v>0</v>
      </c>
      <c r="HA118">
        <v>0</v>
      </c>
      <c r="HB118">
        <v>0</v>
      </c>
      <c r="HC118">
        <f t="shared" si="151"/>
        <v>0</v>
      </c>
      <c r="IK118">
        <v>0</v>
      </c>
    </row>
    <row r="119" spans="1:245" x14ac:dyDescent="0.2">
      <c r="A119">
        <v>18</v>
      </c>
      <c r="B119">
        <v>1</v>
      </c>
      <c r="C119">
        <v>183</v>
      </c>
      <c r="E119" t="s">
        <v>323</v>
      </c>
      <c r="F119" t="s">
        <v>324</v>
      </c>
      <c r="G119" t="s">
        <v>325</v>
      </c>
      <c r="H119" t="s">
        <v>326</v>
      </c>
      <c r="I119">
        <f>I117*J119</f>
        <v>0.08</v>
      </c>
      <c r="J119">
        <v>7.441860465116279E-2</v>
      </c>
      <c r="O119">
        <f t="shared" si="117"/>
        <v>33.82</v>
      </c>
      <c r="P119">
        <f t="shared" si="118"/>
        <v>33.82</v>
      </c>
      <c r="Q119">
        <f t="shared" si="119"/>
        <v>0</v>
      </c>
      <c r="R119">
        <f t="shared" si="120"/>
        <v>0</v>
      </c>
      <c r="S119">
        <f t="shared" si="121"/>
        <v>0</v>
      </c>
      <c r="T119">
        <f t="shared" si="122"/>
        <v>0</v>
      </c>
      <c r="U119">
        <f t="shared" si="123"/>
        <v>0</v>
      </c>
      <c r="V119">
        <f t="shared" si="124"/>
        <v>0</v>
      </c>
      <c r="W119">
        <f t="shared" si="125"/>
        <v>0</v>
      </c>
      <c r="X119">
        <f t="shared" si="126"/>
        <v>0</v>
      </c>
      <c r="Y119">
        <f t="shared" si="127"/>
        <v>0</v>
      </c>
      <c r="AA119">
        <v>16808636</v>
      </c>
      <c r="AB119">
        <f t="shared" si="128"/>
        <v>63</v>
      </c>
      <c r="AC119">
        <f t="shared" si="129"/>
        <v>63</v>
      </c>
      <c r="AD119">
        <f t="shared" si="154"/>
        <v>0</v>
      </c>
      <c r="AE119">
        <f t="shared" si="155"/>
        <v>0</v>
      </c>
      <c r="AF119">
        <f t="shared" si="156"/>
        <v>0</v>
      </c>
      <c r="AG119">
        <f t="shared" si="130"/>
        <v>0</v>
      </c>
      <c r="AH119">
        <f t="shared" si="157"/>
        <v>0</v>
      </c>
      <c r="AI119">
        <f t="shared" si="158"/>
        <v>0</v>
      </c>
      <c r="AJ119">
        <f t="shared" si="131"/>
        <v>0</v>
      </c>
      <c r="AK119">
        <v>63</v>
      </c>
      <c r="AL119">
        <v>63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111</v>
      </c>
      <c r="AU119">
        <v>64</v>
      </c>
      <c r="AV119">
        <v>1</v>
      </c>
      <c r="AW119">
        <v>1</v>
      </c>
      <c r="AZ119">
        <v>6.71</v>
      </c>
      <c r="BA119">
        <v>1</v>
      </c>
      <c r="BB119">
        <v>1</v>
      </c>
      <c r="BC119">
        <v>6.71</v>
      </c>
      <c r="BD119" t="s">
        <v>6</v>
      </c>
      <c r="BE119" t="s">
        <v>6</v>
      </c>
      <c r="BF119" t="s">
        <v>6</v>
      </c>
      <c r="BG119" t="s">
        <v>6</v>
      </c>
      <c r="BH119">
        <v>3</v>
      </c>
      <c r="BI119">
        <v>1</v>
      </c>
      <c r="BJ119" t="s">
        <v>327</v>
      </c>
      <c r="BM119">
        <v>11001</v>
      </c>
      <c r="BN119">
        <v>0</v>
      </c>
      <c r="BO119" t="s">
        <v>6</v>
      </c>
      <c r="BP119">
        <v>0</v>
      </c>
      <c r="BQ119">
        <v>2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6</v>
      </c>
      <c r="BZ119">
        <v>123</v>
      </c>
      <c r="CA119">
        <v>75</v>
      </c>
      <c r="CE119">
        <v>0</v>
      </c>
      <c r="CF119">
        <v>0</v>
      </c>
      <c r="CG119">
        <v>0</v>
      </c>
      <c r="CM119">
        <v>0</v>
      </c>
      <c r="CN119" t="s">
        <v>6</v>
      </c>
      <c r="CO119">
        <v>0</v>
      </c>
      <c r="CP119">
        <f t="shared" si="132"/>
        <v>33.82</v>
      </c>
      <c r="CQ119">
        <f t="shared" si="133"/>
        <v>422.73</v>
      </c>
      <c r="CR119">
        <f t="shared" si="134"/>
        <v>0</v>
      </c>
      <c r="CS119">
        <f t="shared" si="135"/>
        <v>0</v>
      </c>
      <c r="CT119">
        <f t="shared" si="136"/>
        <v>0</v>
      </c>
      <c r="CU119">
        <f t="shared" si="137"/>
        <v>0</v>
      </c>
      <c r="CV119">
        <f t="shared" si="138"/>
        <v>0</v>
      </c>
      <c r="CW119">
        <f t="shared" si="139"/>
        <v>0</v>
      </c>
      <c r="CX119">
        <f t="shared" si="140"/>
        <v>0</v>
      </c>
      <c r="CY119">
        <f t="shared" si="141"/>
        <v>0</v>
      </c>
      <c r="CZ119">
        <f t="shared" si="142"/>
        <v>0</v>
      </c>
      <c r="DC119" t="s">
        <v>6</v>
      </c>
      <c r="DD119" t="s">
        <v>6</v>
      </c>
      <c r="DE119" t="s">
        <v>6</v>
      </c>
      <c r="DF119" t="s">
        <v>6</v>
      </c>
      <c r="DG119" t="s">
        <v>6</v>
      </c>
      <c r="DH119" t="s">
        <v>6</v>
      </c>
      <c r="DI119" t="s">
        <v>6</v>
      </c>
      <c r="DJ119" t="s">
        <v>6</v>
      </c>
      <c r="DK119" t="s">
        <v>6</v>
      </c>
      <c r="DL119" t="s">
        <v>6</v>
      </c>
      <c r="DM119" t="s">
        <v>6</v>
      </c>
      <c r="DN119">
        <v>0</v>
      </c>
      <c r="DO119">
        <v>0</v>
      </c>
      <c r="DP119">
        <v>1</v>
      </c>
      <c r="DQ119">
        <v>1</v>
      </c>
      <c r="DU119">
        <v>1010</v>
      </c>
      <c r="DV119" t="s">
        <v>326</v>
      </c>
      <c r="DW119" t="s">
        <v>326</v>
      </c>
      <c r="DX119">
        <v>100</v>
      </c>
      <c r="EE119">
        <v>16510488</v>
      </c>
      <c r="EF119">
        <v>2</v>
      </c>
      <c r="EG119" t="s">
        <v>20</v>
      </c>
      <c r="EH119">
        <v>0</v>
      </c>
      <c r="EI119" t="s">
        <v>6</v>
      </c>
      <c r="EJ119">
        <v>1</v>
      </c>
      <c r="EK119">
        <v>11001</v>
      </c>
      <c r="EL119" t="s">
        <v>75</v>
      </c>
      <c r="EM119" t="s">
        <v>83</v>
      </c>
      <c r="EO119" t="s">
        <v>6</v>
      </c>
      <c r="EQ119">
        <v>0</v>
      </c>
      <c r="ER119">
        <v>63</v>
      </c>
      <c r="ES119">
        <v>63</v>
      </c>
      <c r="ET119">
        <v>0</v>
      </c>
      <c r="EU119">
        <v>0</v>
      </c>
      <c r="EV119">
        <v>0</v>
      </c>
      <c r="EW119">
        <v>0</v>
      </c>
      <c r="EX119">
        <v>0</v>
      </c>
      <c r="FQ119">
        <v>0</v>
      </c>
      <c r="FR119">
        <f t="shared" si="143"/>
        <v>0</v>
      </c>
      <c r="FS119">
        <v>0</v>
      </c>
      <c r="FT119" t="s">
        <v>23</v>
      </c>
      <c r="FU119" t="s">
        <v>24</v>
      </c>
      <c r="FX119">
        <v>110.7</v>
      </c>
      <c r="FY119">
        <v>63.75</v>
      </c>
      <c r="GA119" t="s">
        <v>6</v>
      </c>
      <c r="GD119">
        <v>0</v>
      </c>
      <c r="GF119">
        <v>1345842772</v>
      </c>
      <c r="GG119">
        <v>1</v>
      </c>
      <c r="GH119">
        <v>1</v>
      </c>
      <c r="GI119">
        <v>4</v>
      </c>
      <c r="GJ119">
        <v>0</v>
      </c>
      <c r="GK119">
        <f>ROUND(R119*(R12)/100,2)</f>
        <v>0</v>
      </c>
      <c r="GL119">
        <f t="shared" si="144"/>
        <v>0</v>
      </c>
      <c r="GM119">
        <f t="shared" si="145"/>
        <v>33.82</v>
      </c>
      <c r="GN119">
        <f t="shared" si="146"/>
        <v>33.82</v>
      </c>
      <c r="GO119">
        <f t="shared" si="147"/>
        <v>0</v>
      </c>
      <c r="GP119">
        <f t="shared" si="148"/>
        <v>0</v>
      </c>
      <c r="GR119">
        <v>0</v>
      </c>
      <c r="GS119">
        <v>3</v>
      </c>
      <c r="GT119">
        <v>0</v>
      </c>
      <c r="GU119" t="s">
        <v>6</v>
      </c>
      <c r="GV119">
        <f t="shared" si="149"/>
        <v>0</v>
      </c>
      <c r="GW119">
        <v>1</v>
      </c>
      <c r="GX119">
        <f t="shared" si="150"/>
        <v>0</v>
      </c>
      <c r="HA119">
        <v>0</v>
      </c>
      <c r="HB119">
        <v>0</v>
      </c>
      <c r="HC119">
        <f t="shared" si="151"/>
        <v>0</v>
      </c>
      <c r="IK119">
        <v>0</v>
      </c>
    </row>
    <row r="120" spans="1:245" x14ac:dyDescent="0.2">
      <c r="A120">
        <v>18</v>
      </c>
      <c r="B120">
        <v>1</v>
      </c>
      <c r="C120">
        <v>184</v>
      </c>
      <c r="E120" t="s">
        <v>328</v>
      </c>
      <c r="F120" t="s">
        <v>329</v>
      </c>
      <c r="G120" t="s">
        <v>330</v>
      </c>
      <c r="H120" t="s">
        <v>326</v>
      </c>
      <c r="I120">
        <f>I117*J120</f>
        <v>0.08</v>
      </c>
      <c r="J120">
        <v>7.441860465116279E-2</v>
      </c>
      <c r="O120">
        <f t="shared" si="117"/>
        <v>33.82</v>
      </c>
      <c r="P120">
        <f t="shared" si="118"/>
        <v>33.82</v>
      </c>
      <c r="Q120">
        <f t="shared" si="119"/>
        <v>0</v>
      </c>
      <c r="R120">
        <f t="shared" si="120"/>
        <v>0</v>
      </c>
      <c r="S120">
        <f t="shared" si="121"/>
        <v>0</v>
      </c>
      <c r="T120">
        <f t="shared" si="122"/>
        <v>0</v>
      </c>
      <c r="U120">
        <f t="shared" si="123"/>
        <v>0</v>
      </c>
      <c r="V120">
        <f t="shared" si="124"/>
        <v>0</v>
      </c>
      <c r="W120">
        <f t="shared" si="125"/>
        <v>0</v>
      </c>
      <c r="X120">
        <f t="shared" si="126"/>
        <v>0</v>
      </c>
      <c r="Y120">
        <f t="shared" si="127"/>
        <v>0</v>
      </c>
      <c r="AA120">
        <v>16808636</v>
      </c>
      <c r="AB120">
        <f t="shared" si="128"/>
        <v>63</v>
      </c>
      <c r="AC120">
        <f t="shared" si="129"/>
        <v>63</v>
      </c>
      <c r="AD120">
        <f t="shared" si="154"/>
        <v>0</v>
      </c>
      <c r="AE120">
        <f t="shared" si="155"/>
        <v>0</v>
      </c>
      <c r="AF120">
        <f t="shared" si="156"/>
        <v>0</v>
      </c>
      <c r="AG120">
        <f t="shared" si="130"/>
        <v>0</v>
      </c>
      <c r="AH120">
        <f t="shared" si="157"/>
        <v>0</v>
      </c>
      <c r="AI120">
        <f t="shared" si="158"/>
        <v>0</v>
      </c>
      <c r="AJ120">
        <f t="shared" si="131"/>
        <v>0</v>
      </c>
      <c r="AK120">
        <v>63</v>
      </c>
      <c r="AL120">
        <v>63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111</v>
      </c>
      <c r="AU120">
        <v>64</v>
      </c>
      <c r="AV120">
        <v>1</v>
      </c>
      <c r="AW120">
        <v>1</v>
      </c>
      <c r="AZ120">
        <v>6.71</v>
      </c>
      <c r="BA120">
        <v>1</v>
      </c>
      <c r="BB120">
        <v>1</v>
      </c>
      <c r="BC120">
        <v>6.71</v>
      </c>
      <c r="BD120" t="s">
        <v>6</v>
      </c>
      <c r="BE120" t="s">
        <v>6</v>
      </c>
      <c r="BF120" t="s">
        <v>6</v>
      </c>
      <c r="BG120" t="s">
        <v>6</v>
      </c>
      <c r="BH120">
        <v>3</v>
      </c>
      <c r="BI120">
        <v>1</v>
      </c>
      <c r="BJ120" t="s">
        <v>331</v>
      </c>
      <c r="BM120">
        <v>11001</v>
      </c>
      <c r="BN120">
        <v>0</v>
      </c>
      <c r="BO120" t="s">
        <v>6</v>
      </c>
      <c r="BP120">
        <v>0</v>
      </c>
      <c r="BQ120">
        <v>2</v>
      </c>
      <c r="BR120">
        <v>0</v>
      </c>
      <c r="BS120">
        <v>1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6</v>
      </c>
      <c r="BZ120">
        <v>123</v>
      </c>
      <c r="CA120">
        <v>75</v>
      </c>
      <c r="CE120">
        <v>0</v>
      </c>
      <c r="CF120">
        <v>0</v>
      </c>
      <c r="CG120">
        <v>0</v>
      </c>
      <c r="CM120">
        <v>0</v>
      </c>
      <c r="CN120" t="s">
        <v>6</v>
      </c>
      <c r="CO120">
        <v>0</v>
      </c>
      <c r="CP120">
        <f t="shared" si="132"/>
        <v>33.82</v>
      </c>
      <c r="CQ120">
        <f t="shared" si="133"/>
        <v>422.73</v>
      </c>
      <c r="CR120">
        <f t="shared" si="134"/>
        <v>0</v>
      </c>
      <c r="CS120">
        <f t="shared" si="135"/>
        <v>0</v>
      </c>
      <c r="CT120">
        <f t="shared" si="136"/>
        <v>0</v>
      </c>
      <c r="CU120">
        <f t="shared" si="137"/>
        <v>0</v>
      </c>
      <c r="CV120">
        <f t="shared" si="138"/>
        <v>0</v>
      </c>
      <c r="CW120">
        <f t="shared" si="139"/>
        <v>0</v>
      </c>
      <c r="CX120">
        <f t="shared" si="140"/>
        <v>0</v>
      </c>
      <c r="CY120">
        <f t="shared" si="141"/>
        <v>0</v>
      </c>
      <c r="CZ120">
        <f t="shared" si="142"/>
        <v>0</v>
      </c>
      <c r="DC120" t="s">
        <v>6</v>
      </c>
      <c r="DD120" t="s">
        <v>6</v>
      </c>
      <c r="DE120" t="s">
        <v>6</v>
      </c>
      <c r="DF120" t="s">
        <v>6</v>
      </c>
      <c r="DG120" t="s">
        <v>6</v>
      </c>
      <c r="DH120" t="s">
        <v>6</v>
      </c>
      <c r="DI120" t="s">
        <v>6</v>
      </c>
      <c r="DJ120" t="s">
        <v>6</v>
      </c>
      <c r="DK120" t="s">
        <v>6</v>
      </c>
      <c r="DL120" t="s">
        <v>6</v>
      </c>
      <c r="DM120" t="s">
        <v>6</v>
      </c>
      <c r="DN120">
        <v>0</v>
      </c>
      <c r="DO120">
        <v>0</v>
      </c>
      <c r="DP120">
        <v>1</v>
      </c>
      <c r="DQ120">
        <v>1</v>
      </c>
      <c r="DU120">
        <v>1010</v>
      </c>
      <c r="DV120" t="s">
        <v>326</v>
      </c>
      <c r="DW120" t="s">
        <v>326</v>
      </c>
      <c r="DX120">
        <v>100</v>
      </c>
      <c r="EE120">
        <v>16510488</v>
      </c>
      <c r="EF120">
        <v>2</v>
      </c>
      <c r="EG120" t="s">
        <v>20</v>
      </c>
      <c r="EH120">
        <v>0</v>
      </c>
      <c r="EI120" t="s">
        <v>6</v>
      </c>
      <c r="EJ120">
        <v>1</v>
      </c>
      <c r="EK120">
        <v>11001</v>
      </c>
      <c r="EL120" t="s">
        <v>75</v>
      </c>
      <c r="EM120" t="s">
        <v>83</v>
      </c>
      <c r="EO120" t="s">
        <v>6</v>
      </c>
      <c r="EQ120">
        <v>0</v>
      </c>
      <c r="ER120">
        <v>63</v>
      </c>
      <c r="ES120">
        <v>63</v>
      </c>
      <c r="ET120">
        <v>0</v>
      </c>
      <c r="EU120">
        <v>0</v>
      </c>
      <c r="EV120">
        <v>0</v>
      </c>
      <c r="EW120">
        <v>0</v>
      </c>
      <c r="EX120">
        <v>0</v>
      </c>
      <c r="FQ120">
        <v>0</v>
      </c>
      <c r="FR120">
        <f t="shared" si="143"/>
        <v>0</v>
      </c>
      <c r="FS120">
        <v>0</v>
      </c>
      <c r="FT120" t="s">
        <v>23</v>
      </c>
      <c r="FU120" t="s">
        <v>24</v>
      </c>
      <c r="FX120">
        <v>110.7</v>
      </c>
      <c r="FY120">
        <v>63.75</v>
      </c>
      <c r="GA120" t="s">
        <v>6</v>
      </c>
      <c r="GD120">
        <v>0</v>
      </c>
      <c r="GF120">
        <v>1906340979</v>
      </c>
      <c r="GG120">
        <v>1</v>
      </c>
      <c r="GH120">
        <v>1</v>
      </c>
      <c r="GI120">
        <v>4</v>
      </c>
      <c r="GJ120">
        <v>0</v>
      </c>
      <c r="GK120">
        <f>ROUND(R120*(R12)/100,2)</f>
        <v>0</v>
      </c>
      <c r="GL120">
        <f t="shared" si="144"/>
        <v>0</v>
      </c>
      <c r="GM120">
        <f t="shared" si="145"/>
        <v>33.82</v>
      </c>
      <c r="GN120">
        <f t="shared" si="146"/>
        <v>33.82</v>
      </c>
      <c r="GO120">
        <f t="shared" si="147"/>
        <v>0</v>
      </c>
      <c r="GP120">
        <f t="shared" si="148"/>
        <v>0</v>
      </c>
      <c r="GR120">
        <v>0</v>
      </c>
      <c r="GS120">
        <v>3</v>
      </c>
      <c r="GT120">
        <v>0</v>
      </c>
      <c r="GU120" t="s">
        <v>6</v>
      </c>
      <c r="GV120">
        <f t="shared" si="149"/>
        <v>0</v>
      </c>
      <c r="GW120">
        <v>1</v>
      </c>
      <c r="GX120">
        <f t="shared" si="150"/>
        <v>0</v>
      </c>
      <c r="HA120">
        <v>0</v>
      </c>
      <c r="HB120">
        <v>0</v>
      </c>
      <c r="HC120">
        <f t="shared" si="151"/>
        <v>0</v>
      </c>
      <c r="IK120">
        <v>0</v>
      </c>
    </row>
    <row r="121" spans="1:245" x14ac:dyDescent="0.2">
      <c r="A121">
        <v>18</v>
      </c>
      <c r="B121">
        <v>1</v>
      </c>
      <c r="C121">
        <v>185</v>
      </c>
      <c r="E121" t="s">
        <v>332</v>
      </c>
      <c r="F121" t="s">
        <v>333</v>
      </c>
      <c r="G121" t="s">
        <v>334</v>
      </c>
      <c r="H121" t="s">
        <v>326</v>
      </c>
      <c r="I121">
        <f>I117*J121</f>
        <v>0.43</v>
      </c>
      <c r="J121">
        <v>0.4</v>
      </c>
      <c r="O121">
        <f t="shared" si="117"/>
        <v>369.32</v>
      </c>
      <c r="P121">
        <f t="shared" si="118"/>
        <v>369.32</v>
      </c>
      <c r="Q121">
        <f t="shared" si="119"/>
        <v>0</v>
      </c>
      <c r="R121">
        <f t="shared" si="120"/>
        <v>0</v>
      </c>
      <c r="S121">
        <f t="shared" si="121"/>
        <v>0</v>
      </c>
      <c r="T121">
        <f t="shared" si="122"/>
        <v>0</v>
      </c>
      <c r="U121">
        <f t="shared" si="123"/>
        <v>0</v>
      </c>
      <c r="V121">
        <f t="shared" si="124"/>
        <v>0</v>
      </c>
      <c r="W121">
        <f t="shared" si="125"/>
        <v>0</v>
      </c>
      <c r="X121">
        <f t="shared" si="126"/>
        <v>0</v>
      </c>
      <c r="Y121">
        <f t="shared" si="127"/>
        <v>0</v>
      </c>
      <c r="AA121">
        <v>16808636</v>
      </c>
      <c r="AB121">
        <f t="shared" si="128"/>
        <v>128</v>
      </c>
      <c r="AC121">
        <f t="shared" si="129"/>
        <v>128</v>
      </c>
      <c r="AD121">
        <f t="shared" si="154"/>
        <v>0</v>
      </c>
      <c r="AE121">
        <f t="shared" si="155"/>
        <v>0</v>
      </c>
      <c r="AF121">
        <f t="shared" si="156"/>
        <v>0</v>
      </c>
      <c r="AG121">
        <f t="shared" si="130"/>
        <v>0</v>
      </c>
      <c r="AH121">
        <f t="shared" si="157"/>
        <v>0</v>
      </c>
      <c r="AI121">
        <f t="shared" si="158"/>
        <v>0</v>
      </c>
      <c r="AJ121">
        <f t="shared" si="131"/>
        <v>0</v>
      </c>
      <c r="AK121">
        <v>128</v>
      </c>
      <c r="AL121">
        <v>128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111</v>
      </c>
      <c r="AU121">
        <v>64</v>
      </c>
      <c r="AV121">
        <v>1</v>
      </c>
      <c r="AW121">
        <v>1</v>
      </c>
      <c r="AZ121">
        <v>6.71</v>
      </c>
      <c r="BA121">
        <v>1</v>
      </c>
      <c r="BB121">
        <v>1</v>
      </c>
      <c r="BC121">
        <v>6.71</v>
      </c>
      <c r="BD121" t="s">
        <v>6</v>
      </c>
      <c r="BE121" t="s">
        <v>6</v>
      </c>
      <c r="BF121" t="s">
        <v>6</v>
      </c>
      <c r="BG121" t="s">
        <v>6</v>
      </c>
      <c r="BH121">
        <v>3</v>
      </c>
      <c r="BI121">
        <v>1</v>
      </c>
      <c r="BJ121" t="s">
        <v>335</v>
      </c>
      <c r="BM121">
        <v>11001</v>
      </c>
      <c r="BN121">
        <v>0</v>
      </c>
      <c r="BO121" t="s">
        <v>6</v>
      </c>
      <c r="BP121">
        <v>0</v>
      </c>
      <c r="BQ121">
        <v>2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6</v>
      </c>
      <c r="BZ121">
        <v>123</v>
      </c>
      <c r="CA121">
        <v>75</v>
      </c>
      <c r="CE121">
        <v>0</v>
      </c>
      <c r="CF121">
        <v>0</v>
      </c>
      <c r="CG121">
        <v>0</v>
      </c>
      <c r="CM121">
        <v>0</v>
      </c>
      <c r="CN121" t="s">
        <v>6</v>
      </c>
      <c r="CO121">
        <v>0</v>
      </c>
      <c r="CP121">
        <f t="shared" si="132"/>
        <v>369.32</v>
      </c>
      <c r="CQ121">
        <f t="shared" si="133"/>
        <v>858.88</v>
      </c>
      <c r="CR121">
        <f t="shared" si="134"/>
        <v>0</v>
      </c>
      <c r="CS121">
        <f t="shared" si="135"/>
        <v>0</v>
      </c>
      <c r="CT121">
        <f t="shared" si="136"/>
        <v>0</v>
      </c>
      <c r="CU121">
        <f t="shared" si="137"/>
        <v>0</v>
      </c>
      <c r="CV121">
        <f t="shared" si="138"/>
        <v>0</v>
      </c>
      <c r="CW121">
        <f t="shared" si="139"/>
        <v>0</v>
      </c>
      <c r="CX121">
        <f t="shared" si="140"/>
        <v>0</v>
      </c>
      <c r="CY121">
        <f t="shared" si="141"/>
        <v>0</v>
      </c>
      <c r="CZ121">
        <f t="shared" si="142"/>
        <v>0</v>
      </c>
      <c r="DC121" t="s">
        <v>6</v>
      </c>
      <c r="DD121" t="s">
        <v>6</v>
      </c>
      <c r="DE121" t="s">
        <v>6</v>
      </c>
      <c r="DF121" t="s">
        <v>6</v>
      </c>
      <c r="DG121" t="s">
        <v>6</v>
      </c>
      <c r="DH121" t="s">
        <v>6</v>
      </c>
      <c r="DI121" t="s">
        <v>6</v>
      </c>
      <c r="DJ121" t="s">
        <v>6</v>
      </c>
      <c r="DK121" t="s">
        <v>6</v>
      </c>
      <c r="DL121" t="s">
        <v>6</v>
      </c>
      <c r="DM121" t="s">
        <v>6</v>
      </c>
      <c r="DN121">
        <v>0</v>
      </c>
      <c r="DO121">
        <v>0</v>
      </c>
      <c r="DP121">
        <v>1</v>
      </c>
      <c r="DQ121">
        <v>1</v>
      </c>
      <c r="DU121">
        <v>1010</v>
      </c>
      <c r="DV121" t="s">
        <v>326</v>
      </c>
      <c r="DW121" t="s">
        <v>326</v>
      </c>
      <c r="DX121">
        <v>100</v>
      </c>
      <c r="EE121">
        <v>16510488</v>
      </c>
      <c r="EF121">
        <v>2</v>
      </c>
      <c r="EG121" t="s">
        <v>20</v>
      </c>
      <c r="EH121">
        <v>0</v>
      </c>
      <c r="EI121" t="s">
        <v>6</v>
      </c>
      <c r="EJ121">
        <v>1</v>
      </c>
      <c r="EK121">
        <v>11001</v>
      </c>
      <c r="EL121" t="s">
        <v>75</v>
      </c>
      <c r="EM121" t="s">
        <v>83</v>
      </c>
      <c r="EO121" t="s">
        <v>6</v>
      </c>
      <c r="EQ121">
        <v>0</v>
      </c>
      <c r="ER121">
        <v>128</v>
      </c>
      <c r="ES121">
        <v>128</v>
      </c>
      <c r="ET121">
        <v>0</v>
      </c>
      <c r="EU121">
        <v>0</v>
      </c>
      <c r="EV121">
        <v>0</v>
      </c>
      <c r="EW121">
        <v>0</v>
      </c>
      <c r="EX121">
        <v>0</v>
      </c>
      <c r="FQ121">
        <v>0</v>
      </c>
      <c r="FR121">
        <f t="shared" si="143"/>
        <v>0</v>
      </c>
      <c r="FS121">
        <v>0</v>
      </c>
      <c r="FT121" t="s">
        <v>23</v>
      </c>
      <c r="FU121" t="s">
        <v>24</v>
      </c>
      <c r="FX121">
        <v>110.7</v>
      </c>
      <c r="FY121">
        <v>63.75</v>
      </c>
      <c r="GA121" t="s">
        <v>6</v>
      </c>
      <c r="GD121">
        <v>0</v>
      </c>
      <c r="GF121">
        <v>848075668</v>
      </c>
      <c r="GG121">
        <v>1</v>
      </c>
      <c r="GH121">
        <v>1</v>
      </c>
      <c r="GI121">
        <v>4</v>
      </c>
      <c r="GJ121">
        <v>0</v>
      </c>
      <c r="GK121">
        <f>ROUND(R121*(R12)/100,2)</f>
        <v>0</v>
      </c>
      <c r="GL121">
        <f t="shared" si="144"/>
        <v>0</v>
      </c>
      <c r="GM121">
        <f t="shared" si="145"/>
        <v>369.32</v>
      </c>
      <c r="GN121">
        <f t="shared" si="146"/>
        <v>369.32</v>
      </c>
      <c r="GO121">
        <f t="shared" si="147"/>
        <v>0</v>
      </c>
      <c r="GP121">
        <f t="shared" si="148"/>
        <v>0</v>
      </c>
      <c r="GR121">
        <v>0</v>
      </c>
      <c r="GS121">
        <v>3</v>
      </c>
      <c r="GT121">
        <v>0</v>
      </c>
      <c r="GU121" t="s">
        <v>6</v>
      </c>
      <c r="GV121">
        <f t="shared" si="149"/>
        <v>0</v>
      </c>
      <c r="GW121">
        <v>1</v>
      </c>
      <c r="GX121">
        <f t="shared" si="150"/>
        <v>0</v>
      </c>
      <c r="HA121">
        <v>0</v>
      </c>
      <c r="HB121">
        <v>0</v>
      </c>
      <c r="HC121">
        <f t="shared" si="151"/>
        <v>0</v>
      </c>
      <c r="IK121">
        <v>0</v>
      </c>
    </row>
    <row r="122" spans="1:245" x14ac:dyDescent="0.2">
      <c r="A122">
        <v>18</v>
      </c>
      <c r="B122">
        <v>1</v>
      </c>
      <c r="C122">
        <v>186</v>
      </c>
      <c r="E122" t="s">
        <v>336</v>
      </c>
      <c r="F122" t="s">
        <v>337</v>
      </c>
      <c r="G122" t="s">
        <v>338</v>
      </c>
      <c r="H122" t="s">
        <v>326</v>
      </c>
      <c r="I122">
        <f>I117*J122</f>
        <v>7.0000000000000007E-2</v>
      </c>
      <c r="J122">
        <v>6.5116279069767455E-2</v>
      </c>
      <c r="O122">
        <f t="shared" si="117"/>
        <v>60.12</v>
      </c>
      <c r="P122">
        <f t="shared" si="118"/>
        <v>60.12</v>
      </c>
      <c r="Q122">
        <f t="shared" si="119"/>
        <v>0</v>
      </c>
      <c r="R122">
        <f t="shared" si="120"/>
        <v>0</v>
      </c>
      <c r="S122">
        <f t="shared" si="121"/>
        <v>0</v>
      </c>
      <c r="T122">
        <f t="shared" si="122"/>
        <v>0</v>
      </c>
      <c r="U122">
        <f t="shared" si="123"/>
        <v>0</v>
      </c>
      <c r="V122">
        <f t="shared" si="124"/>
        <v>0</v>
      </c>
      <c r="W122">
        <f t="shared" si="125"/>
        <v>0</v>
      </c>
      <c r="X122">
        <f t="shared" si="126"/>
        <v>0</v>
      </c>
      <c r="Y122">
        <f t="shared" si="127"/>
        <v>0</v>
      </c>
      <c r="AA122">
        <v>16808636</v>
      </c>
      <c r="AB122">
        <f t="shared" si="128"/>
        <v>128</v>
      </c>
      <c r="AC122">
        <f t="shared" si="129"/>
        <v>128</v>
      </c>
      <c r="AD122">
        <f t="shared" si="154"/>
        <v>0</v>
      </c>
      <c r="AE122">
        <f t="shared" si="155"/>
        <v>0</v>
      </c>
      <c r="AF122">
        <f t="shared" si="156"/>
        <v>0</v>
      </c>
      <c r="AG122">
        <f t="shared" si="130"/>
        <v>0</v>
      </c>
      <c r="AH122">
        <f t="shared" si="157"/>
        <v>0</v>
      </c>
      <c r="AI122">
        <f t="shared" si="158"/>
        <v>0</v>
      </c>
      <c r="AJ122">
        <f t="shared" si="131"/>
        <v>0</v>
      </c>
      <c r="AK122">
        <v>128</v>
      </c>
      <c r="AL122">
        <v>128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111</v>
      </c>
      <c r="AU122">
        <v>64</v>
      </c>
      <c r="AV122">
        <v>1</v>
      </c>
      <c r="AW122">
        <v>1</v>
      </c>
      <c r="AZ122">
        <v>6.71</v>
      </c>
      <c r="BA122">
        <v>1</v>
      </c>
      <c r="BB122">
        <v>1</v>
      </c>
      <c r="BC122">
        <v>6.71</v>
      </c>
      <c r="BD122" t="s">
        <v>6</v>
      </c>
      <c r="BE122" t="s">
        <v>6</v>
      </c>
      <c r="BF122" t="s">
        <v>6</v>
      </c>
      <c r="BG122" t="s">
        <v>6</v>
      </c>
      <c r="BH122">
        <v>3</v>
      </c>
      <c r="BI122">
        <v>1</v>
      </c>
      <c r="BJ122" t="s">
        <v>339</v>
      </c>
      <c r="BM122">
        <v>11001</v>
      </c>
      <c r="BN122">
        <v>0</v>
      </c>
      <c r="BO122" t="s">
        <v>6</v>
      </c>
      <c r="BP122">
        <v>0</v>
      </c>
      <c r="BQ122">
        <v>2</v>
      </c>
      <c r="BR122">
        <v>0</v>
      </c>
      <c r="BS122">
        <v>1</v>
      </c>
      <c r="BT122">
        <v>1</v>
      </c>
      <c r="BU122">
        <v>1</v>
      </c>
      <c r="BV122">
        <v>1</v>
      </c>
      <c r="BW122">
        <v>1</v>
      </c>
      <c r="BX122">
        <v>1</v>
      </c>
      <c r="BY122" t="s">
        <v>6</v>
      </c>
      <c r="BZ122">
        <v>123</v>
      </c>
      <c r="CA122">
        <v>75</v>
      </c>
      <c r="CE122">
        <v>0</v>
      </c>
      <c r="CF122">
        <v>0</v>
      </c>
      <c r="CG122">
        <v>0</v>
      </c>
      <c r="CM122">
        <v>0</v>
      </c>
      <c r="CN122" t="s">
        <v>6</v>
      </c>
      <c r="CO122">
        <v>0</v>
      </c>
      <c r="CP122">
        <f t="shared" si="132"/>
        <v>60.12</v>
      </c>
      <c r="CQ122">
        <f t="shared" si="133"/>
        <v>858.88</v>
      </c>
      <c r="CR122">
        <f t="shared" si="134"/>
        <v>0</v>
      </c>
      <c r="CS122">
        <f t="shared" si="135"/>
        <v>0</v>
      </c>
      <c r="CT122">
        <f t="shared" si="136"/>
        <v>0</v>
      </c>
      <c r="CU122">
        <f t="shared" si="137"/>
        <v>0</v>
      </c>
      <c r="CV122">
        <f t="shared" si="138"/>
        <v>0</v>
      </c>
      <c r="CW122">
        <f t="shared" si="139"/>
        <v>0</v>
      </c>
      <c r="CX122">
        <f t="shared" si="140"/>
        <v>0</v>
      </c>
      <c r="CY122">
        <f t="shared" si="141"/>
        <v>0</v>
      </c>
      <c r="CZ122">
        <f t="shared" si="142"/>
        <v>0</v>
      </c>
      <c r="DC122" t="s">
        <v>6</v>
      </c>
      <c r="DD122" t="s">
        <v>6</v>
      </c>
      <c r="DE122" t="s">
        <v>6</v>
      </c>
      <c r="DF122" t="s">
        <v>6</v>
      </c>
      <c r="DG122" t="s">
        <v>6</v>
      </c>
      <c r="DH122" t="s">
        <v>6</v>
      </c>
      <c r="DI122" t="s">
        <v>6</v>
      </c>
      <c r="DJ122" t="s">
        <v>6</v>
      </c>
      <c r="DK122" t="s">
        <v>6</v>
      </c>
      <c r="DL122" t="s">
        <v>6</v>
      </c>
      <c r="DM122" t="s">
        <v>6</v>
      </c>
      <c r="DN122">
        <v>0</v>
      </c>
      <c r="DO122">
        <v>0</v>
      </c>
      <c r="DP122">
        <v>1</v>
      </c>
      <c r="DQ122">
        <v>1</v>
      </c>
      <c r="DU122">
        <v>1010</v>
      </c>
      <c r="DV122" t="s">
        <v>326</v>
      </c>
      <c r="DW122" t="s">
        <v>326</v>
      </c>
      <c r="DX122">
        <v>100</v>
      </c>
      <c r="EE122">
        <v>16510488</v>
      </c>
      <c r="EF122">
        <v>2</v>
      </c>
      <c r="EG122" t="s">
        <v>20</v>
      </c>
      <c r="EH122">
        <v>0</v>
      </c>
      <c r="EI122" t="s">
        <v>6</v>
      </c>
      <c r="EJ122">
        <v>1</v>
      </c>
      <c r="EK122">
        <v>11001</v>
      </c>
      <c r="EL122" t="s">
        <v>75</v>
      </c>
      <c r="EM122" t="s">
        <v>83</v>
      </c>
      <c r="EO122" t="s">
        <v>6</v>
      </c>
      <c r="EQ122">
        <v>0</v>
      </c>
      <c r="ER122">
        <v>128</v>
      </c>
      <c r="ES122">
        <v>128</v>
      </c>
      <c r="ET122">
        <v>0</v>
      </c>
      <c r="EU122">
        <v>0</v>
      </c>
      <c r="EV122">
        <v>0</v>
      </c>
      <c r="EW122">
        <v>0</v>
      </c>
      <c r="EX122">
        <v>0</v>
      </c>
      <c r="FQ122">
        <v>0</v>
      </c>
      <c r="FR122">
        <f t="shared" si="143"/>
        <v>0</v>
      </c>
      <c r="FS122">
        <v>0</v>
      </c>
      <c r="FT122" t="s">
        <v>23</v>
      </c>
      <c r="FU122" t="s">
        <v>24</v>
      </c>
      <c r="FX122">
        <v>110.7</v>
      </c>
      <c r="FY122">
        <v>63.75</v>
      </c>
      <c r="GA122" t="s">
        <v>6</v>
      </c>
      <c r="GD122">
        <v>0</v>
      </c>
      <c r="GF122">
        <v>1508644261</v>
      </c>
      <c r="GG122">
        <v>1</v>
      </c>
      <c r="GH122">
        <v>1</v>
      </c>
      <c r="GI122">
        <v>4</v>
      </c>
      <c r="GJ122">
        <v>0</v>
      </c>
      <c r="GK122">
        <f>ROUND(R122*(R12)/100,2)</f>
        <v>0</v>
      </c>
      <c r="GL122">
        <f t="shared" si="144"/>
        <v>0</v>
      </c>
      <c r="GM122">
        <f t="shared" si="145"/>
        <v>60.12</v>
      </c>
      <c r="GN122">
        <f t="shared" si="146"/>
        <v>60.12</v>
      </c>
      <c r="GO122">
        <f t="shared" si="147"/>
        <v>0</v>
      </c>
      <c r="GP122">
        <f t="shared" si="148"/>
        <v>0</v>
      </c>
      <c r="GR122">
        <v>0</v>
      </c>
      <c r="GS122">
        <v>3</v>
      </c>
      <c r="GT122">
        <v>0</v>
      </c>
      <c r="GU122" t="s">
        <v>6</v>
      </c>
      <c r="GV122">
        <f t="shared" si="149"/>
        <v>0</v>
      </c>
      <c r="GW122">
        <v>1</v>
      </c>
      <c r="GX122">
        <f t="shared" si="150"/>
        <v>0</v>
      </c>
      <c r="HA122">
        <v>0</v>
      </c>
      <c r="HB122">
        <v>0</v>
      </c>
      <c r="HC122">
        <f t="shared" si="151"/>
        <v>0</v>
      </c>
      <c r="IK122">
        <v>0</v>
      </c>
    </row>
    <row r="123" spans="1:245" x14ac:dyDescent="0.2">
      <c r="A123">
        <v>18</v>
      </c>
      <c r="B123">
        <v>1</v>
      </c>
      <c r="C123">
        <v>187</v>
      </c>
      <c r="E123" t="s">
        <v>340</v>
      </c>
      <c r="F123" t="s">
        <v>341</v>
      </c>
      <c r="G123" t="s">
        <v>342</v>
      </c>
      <c r="H123" t="s">
        <v>326</v>
      </c>
      <c r="I123">
        <f>I117*J123</f>
        <v>7.0000000000000007E-2</v>
      </c>
      <c r="J123">
        <v>6.5116279069767455E-2</v>
      </c>
      <c r="O123">
        <f t="shared" si="117"/>
        <v>60.12</v>
      </c>
      <c r="P123">
        <f t="shared" si="118"/>
        <v>60.12</v>
      </c>
      <c r="Q123">
        <f t="shared" si="119"/>
        <v>0</v>
      </c>
      <c r="R123">
        <f t="shared" si="120"/>
        <v>0</v>
      </c>
      <c r="S123">
        <f t="shared" si="121"/>
        <v>0</v>
      </c>
      <c r="T123">
        <f t="shared" si="122"/>
        <v>0</v>
      </c>
      <c r="U123">
        <f t="shared" si="123"/>
        <v>0</v>
      </c>
      <c r="V123">
        <f t="shared" si="124"/>
        <v>0</v>
      </c>
      <c r="W123">
        <f t="shared" si="125"/>
        <v>0</v>
      </c>
      <c r="X123">
        <f t="shared" si="126"/>
        <v>0</v>
      </c>
      <c r="Y123">
        <f t="shared" si="127"/>
        <v>0</v>
      </c>
      <c r="AA123">
        <v>16808636</v>
      </c>
      <c r="AB123">
        <f t="shared" si="128"/>
        <v>128</v>
      </c>
      <c r="AC123">
        <f t="shared" si="129"/>
        <v>128</v>
      </c>
      <c r="AD123">
        <f t="shared" si="154"/>
        <v>0</v>
      </c>
      <c r="AE123">
        <f t="shared" si="155"/>
        <v>0</v>
      </c>
      <c r="AF123">
        <f t="shared" si="156"/>
        <v>0</v>
      </c>
      <c r="AG123">
        <f t="shared" si="130"/>
        <v>0</v>
      </c>
      <c r="AH123">
        <f t="shared" si="157"/>
        <v>0</v>
      </c>
      <c r="AI123">
        <f t="shared" si="158"/>
        <v>0</v>
      </c>
      <c r="AJ123">
        <f t="shared" si="131"/>
        <v>0</v>
      </c>
      <c r="AK123">
        <v>128</v>
      </c>
      <c r="AL123">
        <v>128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111</v>
      </c>
      <c r="AU123">
        <v>64</v>
      </c>
      <c r="AV123">
        <v>1</v>
      </c>
      <c r="AW123">
        <v>1</v>
      </c>
      <c r="AZ123">
        <v>6.71</v>
      </c>
      <c r="BA123">
        <v>1</v>
      </c>
      <c r="BB123">
        <v>1</v>
      </c>
      <c r="BC123">
        <v>6.71</v>
      </c>
      <c r="BD123" t="s">
        <v>6</v>
      </c>
      <c r="BE123" t="s">
        <v>6</v>
      </c>
      <c r="BF123" t="s">
        <v>6</v>
      </c>
      <c r="BG123" t="s">
        <v>6</v>
      </c>
      <c r="BH123">
        <v>3</v>
      </c>
      <c r="BI123">
        <v>1</v>
      </c>
      <c r="BJ123" t="s">
        <v>343</v>
      </c>
      <c r="BM123">
        <v>11001</v>
      </c>
      <c r="BN123">
        <v>0</v>
      </c>
      <c r="BO123" t="s">
        <v>6</v>
      </c>
      <c r="BP123">
        <v>0</v>
      </c>
      <c r="BQ123">
        <v>2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6</v>
      </c>
      <c r="BZ123">
        <v>123</v>
      </c>
      <c r="CA123">
        <v>75</v>
      </c>
      <c r="CE123">
        <v>0</v>
      </c>
      <c r="CF123">
        <v>0</v>
      </c>
      <c r="CG123">
        <v>0</v>
      </c>
      <c r="CM123">
        <v>0</v>
      </c>
      <c r="CN123" t="s">
        <v>6</v>
      </c>
      <c r="CO123">
        <v>0</v>
      </c>
      <c r="CP123">
        <f t="shared" si="132"/>
        <v>60.12</v>
      </c>
      <c r="CQ123">
        <f t="shared" si="133"/>
        <v>858.88</v>
      </c>
      <c r="CR123">
        <f t="shared" si="134"/>
        <v>0</v>
      </c>
      <c r="CS123">
        <f t="shared" si="135"/>
        <v>0</v>
      </c>
      <c r="CT123">
        <f t="shared" si="136"/>
        <v>0</v>
      </c>
      <c r="CU123">
        <f t="shared" si="137"/>
        <v>0</v>
      </c>
      <c r="CV123">
        <f t="shared" si="138"/>
        <v>0</v>
      </c>
      <c r="CW123">
        <f t="shared" si="139"/>
        <v>0</v>
      </c>
      <c r="CX123">
        <f t="shared" si="140"/>
        <v>0</v>
      </c>
      <c r="CY123">
        <f t="shared" si="141"/>
        <v>0</v>
      </c>
      <c r="CZ123">
        <f t="shared" si="142"/>
        <v>0</v>
      </c>
      <c r="DC123" t="s">
        <v>6</v>
      </c>
      <c r="DD123" t="s">
        <v>6</v>
      </c>
      <c r="DE123" t="s">
        <v>6</v>
      </c>
      <c r="DF123" t="s">
        <v>6</v>
      </c>
      <c r="DG123" t="s">
        <v>6</v>
      </c>
      <c r="DH123" t="s">
        <v>6</v>
      </c>
      <c r="DI123" t="s">
        <v>6</v>
      </c>
      <c r="DJ123" t="s">
        <v>6</v>
      </c>
      <c r="DK123" t="s">
        <v>6</v>
      </c>
      <c r="DL123" t="s">
        <v>6</v>
      </c>
      <c r="DM123" t="s">
        <v>6</v>
      </c>
      <c r="DN123">
        <v>0</v>
      </c>
      <c r="DO123">
        <v>0</v>
      </c>
      <c r="DP123">
        <v>1</v>
      </c>
      <c r="DQ123">
        <v>1</v>
      </c>
      <c r="DU123">
        <v>1010</v>
      </c>
      <c r="DV123" t="s">
        <v>326</v>
      </c>
      <c r="DW123" t="s">
        <v>326</v>
      </c>
      <c r="DX123">
        <v>100</v>
      </c>
      <c r="EE123">
        <v>16510488</v>
      </c>
      <c r="EF123">
        <v>2</v>
      </c>
      <c r="EG123" t="s">
        <v>20</v>
      </c>
      <c r="EH123">
        <v>0</v>
      </c>
      <c r="EI123" t="s">
        <v>6</v>
      </c>
      <c r="EJ123">
        <v>1</v>
      </c>
      <c r="EK123">
        <v>11001</v>
      </c>
      <c r="EL123" t="s">
        <v>75</v>
      </c>
      <c r="EM123" t="s">
        <v>83</v>
      </c>
      <c r="EO123" t="s">
        <v>6</v>
      </c>
      <c r="EQ123">
        <v>0</v>
      </c>
      <c r="ER123">
        <v>128</v>
      </c>
      <c r="ES123">
        <v>128</v>
      </c>
      <c r="ET123">
        <v>0</v>
      </c>
      <c r="EU123">
        <v>0</v>
      </c>
      <c r="EV123">
        <v>0</v>
      </c>
      <c r="EW123">
        <v>0</v>
      </c>
      <c r="EX123">
        <v>0</v>
      </c>
      <c r="FQ123">
        <v>0</v>
      </c>
      <c r="FR123">
        <f t="shared" si="143"/>
        <v>0</v>
      </c>
      <c r="FS123">
        <v>0</v>
      </c>
      <c r="FT123" t="s">
        <v>23</v>
      </c>
      <c r="FU123" t="s">
        <v>24</v>
      </c>
      <c r="FX123">
        <v>110.7</v>
      </c>
      <c r="FY123">
        <v>63.75</v>
      </c>
      <c r="GA123" t="s">
        <v>6</v>
      </c>
      <c r="GD123">
        <v>0</v>
      </c>
      <c r="GF123">
        <v>-1530028590</v>
      </c>
      <c r="GG123">
        <v>1</v>
      </c>
      <c r="GH123">
        <v>1</v>
      </c>
      <c r="GI123">
        <v>4</v>
      </c>
      <c r="GJ123">
        <v>0</v>
      </c>
      <c r="GK123">
        <f>ROUND(R123*(R12)/100,2)</f>
        <v>0</v>
      </c>
      <c r="GL123">
        <f t="shared" si="144"/>
        <v>0</v>
      </c>
      <c r="GM123">
        <f t="shared" si="145"/>
        <v>60.12</v>
      </c>
      <c r="GN123">
        <f t="shared" si="146"/>
        <v>60.12</v>
      </c>
      <c r="GO123">
        <f t="shared" si="147"/>
        <v>0</v>
      </c>
      <c r="GP123">
        <f t="shared" si="148"/>
        <v>0</v>
      </c>
      <c r="GR123">
        <v>0</v>
      </c>
      <c r="GS123">
        <v>3</v>
      </c>
      <c r="GT123">
        <v>0</v>
      </c>
      <c r="GU123" t="s">
        <v>6</v>
      </c>
      <c r="GV123">
        <f t="shared" si="149"/>
        <v>0</v>
      </c>
      <c r="GW123">
        <v>1</v>
      </c>
      <c r="GX123">
        <f t="shared" si="150"/>
        <v>0</v>
      </c>
      <c r="HA123">
        <v>0</v>
      </c>
      <c r="HB123">
        <v>0</v>
      </c>
      <c r="HC123">
        <f t="shared" si="151"/>
        <v>0</v>
      </c>
      <c r="IK123">
        <v>0</v>
      </c>
    </row>
    <row r="124" spans="1:245" x14ac:dyDescent="0.2">
      <c r="A124">
        <v>18</v>
      </c>
      <c r="B124">
        <v>1</v>
      </c>
      <c r="C124">
        <v>176</v>
      </c>
      <c r="E124" t="s">
        <v>344</v>
      </c>
      <c r="F124" t="s">
        <v>345</v>
      </c>
      <c r="G124" t="s">
        <v>346</v>
      </c>
      <c r="H124" t="s">
        <v>202</v>
      </c>
      <c r="I124">
        <f>I117*J124</f>
        <v>108.57499999999999</v>
      </c>
      <c r="J124">
        <v>101</v>
      </c>
      <c r="O124">
        <f t="shared" si="117"/>
        <v>0</v>
      </c>
      <c r="P124">
        <f t="shared" si="118"/>
        <v>0</v>
      </c>
      <c r="Q124">
        <f t="shared" si="119"/>
        <v>0</v>
      </c>
      <c r="R124">
        <f t="shared" si="120"/>
        <v>0</v>
      </c>
      <c r="S124">
        <f t="shared" si="121"/>
        <v>0</v>
      </c>
      <c r="T124">
        <f t="shared" si="122"/>
        <v>0</v>
      </c>
      <c r="U124">
        <f t="shared" si="123"/>
        <v>0</v>
      </c>
      <c r="V124">
        <f t="shared" si="124"/>
        <v>0</v>
      </c>
      <c r="W124">
        <f t="shared" si="125"/>
        <v>0</v>
      </c>
      <c r="X124">
        <f t="shared" si="126"/>
        <v>0</v>
      </c>
      <c r="Y124">
        <f t="shared" si="127"/>
        <v>0</v>
      </c>
      <c r="AA124">
        <v>16808636</v>
      </c>
      <c r="AB124">
        <f t="shared" si="128"/>
        <v>0</v>
      </c>
      <c r="AC124">
        <f t="shared" si="129"/>
        <v>0</v>
      </c>
      <c r="AD124">
        <f t="shared" si="154"/>
        <v>0</v>
      </c>
      <c r="AE124">
        <f t="shared" si="155"/>
        <v>0</v>
      </c>
      <c r="AF124">
        <f t="shared" si="156"/>
        <v>0</v>
      </c>
      <c r="AG124">
        <f t="shared" si="130"/>
        <v>0</v>
      </c>
      <c r="AH124">
        <f t="shared" si="157"/>
        <v>0</v>
      </c>
      <c r="AI124">
        <f t="shared" si="158"/>
        <v>0</v>
      </c>
      <c r="AJ124">
        <f t="shared" si="131"/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111</v>
      </c>
      <c r="AU124">
        <v>64</v>
      </c>
      <c r="AV124">
        <v>1</v>
      </c>
      <c r="AW124">
        <v>1</v>
      </c>
      <c r="AZ124">
        <v>6.71</v>
      </c>
      <c r="BA124">
        <v>1</v>
      </c>
      <c r="BB124">
        <v>1</v>
      </c>
      <c r="BC124">
        <v>6.71</v>
      </c>
      <c r="BD124" t="s">
        <v>6</v>
      </c>
      <c r="BE124" t="s">
        <v>6</v>
      </c>
      <c r="BF124" t="s">
        <v>6</v>
      </c>
      <c r="BG124" t="s">
        <v>6</v>
      </c>
      <c r="BH124">
        <v>3</v>
      </c>
      <c r="BI124">
        <v>1</v>
      </c>
      <c r="BJ124" t="s">
        <v>6</v>
      </c>
      <c r="BM124">
        <v>11001</v>
      </c>
      <c r="BN124">
        <v>0</v>
      </c>
      <c r="BO124" t="s">
        <v>6</v>
      </c>
      <c r="BP124">
        <v>0</v>
      </c>
      <c r="BQ124">
        <v>2</v>
      </c>
      <c r="BR124">
        <v>0</v>
      </c>
      <c r="BS124">
        <v>1</v>
      </c>
      <c r="BT124">
        <v>1</v>
      </c>
      <c r="BU124">
        <v>1</v>
      </c>
      <c r="BV124">
        <v>1</v>
      </c>
      <c r="BW124">
        <v>1</v>
      </c>
      <c r="BX124">
        <v>1</v>
      </c>
      <c r="BY124" t="s">
        <v>6</v>
      </c>
      <c r="BZ124">
        <v>123</v>
      </c>
      <c r="CA124">
        <v>75</v>
      </c>
      <c r="CE124">
        <v>0</v>
      </c>
      <c r="CF124">
        <v>0</v>
      </c>
      <c r="CG124">
        <v>0</v>
      </c>
      <c r="CM124">
        <v>0</v>
      </c>
      <c r="CN124" t="s">
        <v>6</v>
      </c>
      <c r="CO124">
        <v>0</v>
      </c>
      <c r="CP124">
        <f t="shared" si="132"/>
        <v>0</v>
      </c>
      <c r="CQ124">
        <f t="shared" si="133"/>
        <v>0</v>
      </c>
      <c r="CR124">
        <f t="shared" si="134"/>
        <v>0</v>
      </c>
      <c r="CS124">
        <f t="shared" si="135"/>
        <v>0</v>
      </c>
      <c r="CT124">
        <f t="shared" si="136"/>
        <v>0</v>
      </c>
      <c r="CU124">
        <f t="shared" si="137"/>
        <v>0</v>
      </c>
      <c r="CV124">
        <f t="shared" si="138"/>
        <v>0</v>
      </c>
      <c r="CW124">
        <f t="shared" si="139"/>
        <v>0</v>
      </c>
      <c r="CX124">
        <f t="shared" si="140"/>
        <v>0</v>
      </c>
      <c r="CY124">
        <f t="shared" si="141"/>
        <v>0</v>
      </c>
      <c r="CZ124">
        <f t="shared" si="142"/>
        <v>0</v>
      </c>
      <c r="DC124" t="s">
        <v>6</v>
      </c>
      <c r="DD124" t="s">
        <v>6</v>
      </c>
      <c r="DE124" t="s">
        <v>6</v>
      </c>
      <c r="DF124" t="s">
        <v>6</v>
      </c>
      <c r="DG124" t="s">
        <v>6</v>
      </c>
      <c r="DH124" t="s">
        <v>6</v>
      </c>
      <c r="DI124" t="s">
        <v>6</v>
      </c>
      <c r="DJ124" t="s">
        <v>6</v>
      </c>
      <c r="DK124" t="s">
        <v>6</v>
      </c>
      <c r="DL124" t="s">
        <v>6</v>
      </c>
      <c r="DM124" t="s">
        <v>6</v>
      </c>
      <c r="DN124">
        <v>0</v>
      </c>
      <c r="DO124">
        <v>0</v>
      </c>
      <c r="DP124">
        <v>1</v>
      </c>
      <c r="DQ124">
        <v>1</v>
      </c>
      <c r="DU124">
        <v>1003</v>
      </c>
      <c r="DV124" t="s">
        <v>202</v>
      </c>
      <c r="DW124" t="s">
        <v>202</v>
      </c>
      <c r="DX124">
        <v>1</v>
      </c>
      <c r="EE124">
        <v>16510488</v>
      </c>
      <c r="EF124">
        <v>2</v>
      </c>
      <c r="EG124" t="s">
        <v>20</v>
      </c>
      <c r="EH124">
        <v>0</v>
      </c>
      <c r="EI124" t="s">
        <v>6</v>
      </c>
      <c r="EJ124">
        <v>1</v>
      </c>
      <c r="EK124">
        <v>11001</v>
      </c>
      <c r="EL124" t="s">
        <v>75</v>
      </c>
      <c r="EM124" t="s">
        <v>83</v>
      </c>
      <c r="EO124" t="s">
        <v>6</v>
      </c>
      <c r="EQ124">
        <v>0</v>
      </c>
      <c r="ER124">
        <v>0</v>
      </c>
      <c r="ES124">
        <v>0</v>
      </c>
      <c r="ET124">
        <v>0</v>
      </c>
      <c r="EU124">
        <v>0</v>
      </c>
      <c r="EV124">
        <v>0</v>
      </c>
      <c r="EW124">
        <v>0</v>
      </c>
      <c r="EX124">
        <v>0</v>
      </c>
      <c r="FQ124">
        <v>0</v>
      </c>
      <c r="FR124">
        <f t="shared" si="143"/>
        <v>0</v>
      </c>
      <c r="FS124">
        <v>0</v>
      </c>
      <c r="FT124" t="s">
        <v>23</v>
      </c>
      <c r="FU124" t="s">
        <v>24</v>
      </c>
      <c r="FX124">
        <v>110.7</v>
      </c>
      <c r="FY124">
        <v>63.75</v>
      </c>
      <c r="GA124" t="s">
        <v>6</v>
      </c>
      <c r="GD124">
        <v>0</v>
      </c>
      <c r="GF124">
        <v>-2049262376</v>
      </c>
      <c r="GG124">
        <v>1</v>
      </c>
      <c r="GH124">
        <v>1</v>
      </c>
      <c r="GI124">
        <v>4</v>
      </c>
      <c r="GJ124">
        <v>0</v>
      </c>
      <c r="GK124">
        <f>ROUND(R124*(R12)/100,2)</f>
        <v>0</v>
      </c>
      <c r="GL124">
        <f t="shared" si="144"/>
        <v>0</v>
      </c>
      <c r="GM124">
        <f t="shared" si="145"/>
        <v>0</v>
      </c>
      <c r="GN124">
        <f t="shared" si="146"/>
        <v>0</v>
      </c>
      <c r="GO124">
        <f t="shared" si="147"/>
        <v>0</v>
      </c>
      <c r="GP124">
        <f t="shared" si="148"/>
        <v>0</v>
      </c>
      <c r="GR124">
        <v>0</v>
      </c>
      <c r="GS124">
        <v>3</v>
      </c>
      <c r="GT124">
        <v>0</v>
      </c>
      <c r="GU124" t="s">
        <v>6</v>
      </c>
      <c r="GV124">
        <f t="shared" si="149"/>
        <v>0</v>
      </c>
      <c r="GW124">
        <v>1</v>
      </c>
      <c r="GX124">
        <f t="shared" si="150"/>
        <v>0</v>
      </c>
      <c r="HA124">
        <v>0</v>
      </c>
      <c r="HB124">
        <v>0</v>
      </c>
      <c r="HC124">
        <f t="shared" si="151"/>
        <v>0</v>
      </c>
      <c r="IK124">
        <v>0</v>
      </c>
    </row>
    <row r="125" spans="1:245" x14ac:dyDescent="0.2">
      <c r="A125">
        <v>18</v>
      </c>
      <c r="B125">
        <v>1</v>
      </c>
      <c r="C125">
        <v>178</v>
      </c>
      <c r="E125" t="s">
        <v>347</v>
      </c>
      <c r="F125" t="s">
        <v>348</v>
      </c>
      <c r="G125" t="s">
        <v>349</v>
      </c>
      <c r="H125" t="s">
        <v>350</v>
      </c>
      <c r="I125">
        <f>I117*J125</f>
        <v>7</v>
      </c>
      <c r="J125">
        <v>6.5116279069767442</v>
      </c>
      <c r="O125">
        <f t="shared" si="117"/>
        <v>0</v>
      </c>
      <c r="P125">
        <f t="shared" si="118"/>
        <v>0</v>
      </c>
      <c r="Q125">
        <f t="shared" si="119"/>
        <v>0</v>
      </c>
      <c r="R125">
        <f t="shared" si="120"/>
        <v>0</v>
      </c>
      <c r="S125">
        <f t="shared" si="121"/>
        <v>0</v>
      </c>
      <c r="T125">
        <f t="shared" si="122"/>
        <v>0</v>
      </c>
      <c r="U125">
        <f t="shared" si="123"/>
        <v>0</v>
      </c>
      <c r="V125">
        <f t="shared" si="124"/>
        <v>0</v>
      </c>
      <c r="W125">
        <f t="shared" si="125"/>
        <v>0</v>
      </c>
      <c r="X125">
        <f t="shared" si="126"/>
        <v>0</v>
      </c>
      <c r="Y125">
        <f t="shared" si="127"/>
        <v>0</v>
      </c>
      <c r="AA125">
        <v>16808636</v>
      </c>
      <c r="AB125">
        <f t="shared" si="128"/>
        <v>0</v>
      </c>
      <c r="AC125">
        <f t="shared" si="129"/>
        <v>0</v>
      </c>
      <c r="AD125">
        <f t="shared" si="154"/>
        <v>0</v>
      </c>
      <c r="AE125">
        <f t="shared" si="155"/>
        <v>0</v>
      </c>
      <c r="AF125">
        <f t="shared" si="156"/>
        <v>0</v>
      </c>
      <c r="AG125">
        <f t="shared" si="130"/>
        <v>0</v>
      </c>
      <c r="AH125">
        <f t="shared" si="157"/>
        <v>0</v>
      </c>
      <c r="AI125">
        <f t="shared" si="158"/>
        <v>0</v>
      </c>
      <c r="AJ125">
        <f t="shared" si="131"/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111</v>
      </c>
      <c r="AU125">
        <v>64</v>
      </c>
      <c r="AV125">
        <v>1</v>
      </c>
      <c r="AW125">
        <v>1</v>
      </c>
      <c r="AZ125">
        <v>6.71</v>
      </c>
      <c r="BA125">
        <v>1</v>
      </c>
      <c r="BB125">
        <v>1</v>
      </c>
      <c r="BC125">
        <v>6.71</v>
      </c>
      <c r="BD125" t="s">
        <v>6</v>
      </c>
      <c r="BE125" t="s">
        <v>6</v>
      </c>
      <c r="BF125" t="s">
        <v>6</v>
      </c>
      <c r="BG125" t="s">
        <v>6</v>
      </c>
      <c r="BH125">
        <v>3</v>
      </c>
      <c r="BI125">
        <v>1</v>
      </c>
      <c r="BJ125" t="s">
        <v>6</v>
      </c>
      <c r="BM125">
        <v>11001</v>
      </c>
      <c r="BN125">
        <v>0</v>
      </c>
      <c r="BO125" t="s">
        <v>6</v>
      </c>
      <c r="BP125">
        <v>0</v>
      </c>
      <c r="BQ125">
        <v>2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6</v>
      </c>
      <c r="BZ125">
        <v>123</v>
      </c>
      <c r="CA125">
        <v>75</v>
      </c>
      <c r="CE125">
        <v>0</v>
      </c>
      <c r="CF125">
        <v>0</v>
      </c>
      <c r="CG125">
        <v>0</v>
      </c>
      <c r="CM125">
        <v>0</v>
      </c>
      <c r="CN125" t="s">
        <v>6</v>
      </c>
      <c r="CO125">
        <v>0</v>
      </c>
      <c r="CP125">
        <f t="shared" si="132"/>
        <v>0</v>
      </c>
      <c r="CQ125">
        <f t="shared" si="133"/>
        <v>0</v>
      </c>
      <c r="CR125">
        <f t="shared" si="134"/>
        <v>0</v>
      </c>
      <c r="CS125">
        <f t="shared" si="135"/>
        <v>0</v>
      </c>
      <c r="CT125">
        <f t="shared" si="136"/>
        <v>0</v>
      </c>
      <c r="CU125">
        <f t="shared" si="137"/>
        <v>0</v>
      </c>
      <c r="CV125">
        <f t="shared" si="138"/>
        <v>0</v>
      </c>
      <c r="CW125">
        <f t="shared" si="139"/>
        <v>0</v>
      </c>
      <c r="CX125">
        <f t="shared" si="140"/>
        <v>0</v>
      </c>
      <c r="CY125">
        <f t="shared" si="141"/>
        <v>0</v>
      </c>
      <c r="CZ125">
        <f t="shared" si="142"/>
        <v>0</v>
      </c>
      <c r="DC125" t="s">
        <v>6</v>
      </c>
      <c r="DD125" t="s">
        <v>6</v>
      </c>
      <c r="DE125" t="s">
        <v>6</v>
      </c>
      <c r="DF125" t="s">
        <v>6</v>
      </c>
      <c r="DG125" t="s">
        <v>6</v>
      </c>
      <c r="DH125" t="s">
        <v>6</v>
      </c>
      <c r="DI125" t="s">
        <v>6</v>
      </c>
      <c r="DJ125" t="s">
        <v>6</v>
      </c>
      <c r="DK125" t="s">
        <v>6</v>
      </c>
      <c r="DL125" t="s">
        <v>6</v>
      </c>
      <c r="DM125" t="s">
        <v>6</v>
      </c>
      <c r="DN125">
        <v>0</v>
      </c>
      <c r="DO125">
        <v>0</v>
      </c>
      <c r="DP125">
        <v>1</v>
      </c>
      <c r="DQ125">
        <v>1</v>
      </c>
      <c r="DU125">
        <v>1010</v>
      </c>
      <c r="DV125" t="s">
        <v>350</v>
      </c>
      <c r="DW125" t="s">
        <v>350</v>
      </c>
      <c r="DX125">
        <v>1</v>
      </c>
      <c r="EE125">
        <v>16510488</v>
      </c>
      <c r="EF125">
        <v>2</v>
      </c>
      <c r="EG125" t="s">
        <v>20</v>
      </c>
      <c r="EH125">
        <v>0</v>
      </c>
      <c r="EI125" t="s">
        <v>6</v>
      </c>
      <c r="EJ125">
        <v>1</v>
      </c>
      <c r="EK125">
        <v>11001</v>
      </c>
      <c r="EL125" t="s">
        <v>75</v>
      </c>
      <c r="EM125" t="s">
        <v>83</v>
      </c>
      <c r="EO125" t="s">
        <v>6</v>
      </c>
      <c r="EQ125">
        <v>0</v>
      </c>
      <c r="ER125">
        <v>0</v>
      </c>
      <c r="ES125">
        <v>0</v>
      </c>
      <c r="ET125">
        <v>0</v>
      </c>
      <c r="EU125">
        <v>0</v>
      </c>
      <c r="EV125">
        <v>0</v>
      </c>
      <c r="EW125">
        <v>0</v>
      </c>
      <c r="EX125">
        <v>0</v>
      </c>
      <c r="FQ125">
        <v>0</v>
      </c>
      <c r="FR125">
        <f t="shared" si="143"/>
        <v>0</v>
      </c>
      <c r="FS125">
        <v>0</v>
      </c>
      <c r="FT125" t="s">
        <v>23</v>
      </c>
      <c r="FU125" t="s">
        <v>24</v>
      </c>
      <c r="FX125">
        <v>110.7</v>
      </c>
      <c r="FY125">
        <v>63.75</v>
      </c>
      <c r="GA125" t="s">
        <v>6</v>
      </c>
      <c r="GD125">
        <v>0</v>
      </c>
      <c r="GF125">
        <v>457303772</v>
      </c>
      <c r="GG125">
        <v>1</v>
      </c>
      <c r="GH125">
        <v>1</v>
      </c>
      <c r="GI125">
        <v>4</v>
      </c>
      <c r="GJ125">
        <v>0</v>
      </c>
      <c r="GK125">
        <f>ROUND(R125*(R12)/100,2)</f>
        <v>0</v>
      </c>
      <c r="GL125">
        <f t="shared" si="144"/>
        <v>0</v>
      </c>
      <c r="GM125">
        <f t="shared" si="145"/>
        <v>0</v>
      </c>
      <c r="GN125">
        <f t="shared" si="146"/>
        <v>0</v>
      </c>
      <c r="GO125">
        <f t="shared" si="147"/>
        <v>0</v>
      </c>
      <c r="GP125">
        <f t="shared" si="148"/>
        <v>0</v>
      </c>
      <c r="GR125">
        <v>0</v>
      </c>
      <c r="GS125">
        <v>3</v>
      </c>
      <c r="GT125">
        <v>0</v>
      </c>
      <c r="GU125" t="s">
        <v>6</v>
      </c>
      <c r="GV125">
        <f t="shared" si="149"/>
        <v>0</v>
      </c>
      <c r="GW125">
        <v>1</v>
      </c>
      <c r="GX125">
        <f t="shared" si="150"/>
        <v>0</v>
      </c>
      <c r="HA125">
        <v>0</v>
      </c>
      <c r="HB125">
        <v>0</v>
      </c>
      <c r="HC125">
        <f t="shared" si="151"/>
        <v>0</v>
      </c>
      <c r="IK125">
        <v>0</v>
      </c>
    </row>
    <row r="126" spans="1:245" x14ac:dyDescent="0.2">
      <c r="A126">
        <v>18</v>
      </c>
      <c r="B126">
        <v>1</v>
      </c>
      <c r="C126">
        <v>179</v>
      </c>
      <c r="E126" t="s">
        <v>351</v>
      </c>
      <c r="F126" t="s">
        <v>348</v>
      </c>
      <c r="G126" t="s">
        <v>352</v>
      </c>
      <c r="H126" t="s">
        <v>350</v>
      </c>
      <c r="I126">
        <f>I117*J126</f>
        <v>7</v>
      </c>
      <c r="J126">
        <v>6.5116279069767442</v>
      </c>
      <c r="O126">
        <f t="shared" si="117"/>
        <v>0</v>
      </c>
      <c r="P126">
        <f t="shared" si="118"/>
        <v>0</v>
      </c>
      <c r="Q126">
        <f t="shared" si="119"/>
        <v>0</v>
      </c>
      <c r="R126">
        <f t="shared" si="120"/>
        <v>0</v>
      </c>
      <c r="S126">
        <f t="shared" si="121"/>
        <v>0</v>
      </c>
      <c r="T126">
        <f t="shared" si="122"/>
        <v>0</v>
      </c>
      <c r="U126">
        <f t="shared" si="123"/>
        <v>0</v>
      </c>
      <c r="V126">
        <f t="shared" si="124"/>
        <v>0</v>
      </c>
      <c r="W126">
        <f t="shared" si="125"/>
        <v>0</v>
      </c>
      <c r="X126">
        <f t="shared" si="126"/>
        <v>0</v>
      </c>
      <c r="Y126">
        <f t="shared" si="127"/>
        <v>0</v>
      </c>
      <c r="AA126">
        <v>16808636</v>
      </c>
      <c r="AB126">
        <f t="shared" si="128"/>
        <v>0</v>
      </c>
      <c r="AC126">
        <f t="shared" si="129"/>
        <v>0</v>
      </c>
      <c r="AD126">
        <f t="shared" si="154"/>
        <v>0</v>
      </c>
      <c r="AE126">
        <f t="shared" si="155"/>
        <v>0</v>
      </c>
      <c r="AF126">
        <f t="shared" si="156"/>
        <v>0</v>
      </c>
      <c r="AG126">
        <f t="shared" si="130"/>
        <v>0</v>
      </c>
      <c r="AH126">
        <f t="shared" si="157"/>
        <v>0</v>
      </c>
      <c r="AI126">
        <f t="shared" si="158"/>
        <v>0</v>
      </c>
      <c r="AJ126">
        <f t="shared" si="131"/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111</v>
      </c>
      <c r="AU126">
        <v>64</v>
      </c>
      <c r="AV126">
        <v>1</v>
      </c>
      <c r="AW126">
        <v>1</v>
      </c>
      <c r="AZ126">
        <v>6.71</v>
      </c>
      <c r="BA126">
        <v>1</v>
      </c>
      <c r="BB126">
        <v>1</v>
      </c>
      <c r="BC126">
        <v>6.71</v>
      </c>
      <c r="BD126" t="s">
        <v>6</v>
      </c>
      <c r="BE126" t="s">
        <v>6</v>
      </c>
      <c r="BF126" t="s">
        <v>6</v>
      </c>
      <c r="BG126" t="s">
        <v>6</v>
      </c>
      <c r="BH126">
        <v>3</v>
      </c>
      <c r="BI126">
        <v>1</v>
      </c>
      <c r="BJ126" t="s">
        <v>6</v>
      </c>
      <c r="BM126">
        <v>11001</v>
      </c>
      <c r="BN126">
        <v>0</v>
      </c>
      <c r="BO126" t="s">
        <v>6</v>
      </c>
      <c r="BP126">
        <v>0</v>
      </c>
      <c r="BQ126">
        <v>2</v>
      </c>
      <c r="BR126">
        <v>0</v>
      </c>
      <c r="BS126">
        <v>1</v>
      </c>
      <c r="BT126">
        <v>1</v>
      </c>
      <c r="BU126">
        <v>1</v>
      </c>
      <c r="BV126">
        <v>1</v>
      </c>
      <c r="BW126">
        <v>1</v>
      </c>
      <c r="BX126">
        <v>1</v>
      </c>
      <c r="BY126" t="s">
        <v>6</v>
      </c>
      <c r="BZ126">
        <v>123</v>
      </c>
      <c r="CA126">
        <v>75</v>
      </c>
      <c r="CE126">
        <v>0</v>
      </c>
      <c r="CF126">
        <v>0</v>
      </c>
      <c r="CG126">
        <v>0</v>
      </c>
      <c r="CM126">
        <v>0</v>
      </c>
      <c r="CN126" t="s">
        <v>6</v>
      </c>
      <c r="CO126">
        <v>0</v>
      </c>
      <c r="CP126">
        <f t="shared" si="132"/>
        <v>0</v>
      </c>
      <c r="CQ126">
        <f t="shared" si="133"/>
        <v>0</v>
      </c>
      <c r="CR126">
        <f t="shared" si="134"/>
        <v>0</v>
      </c>
      <c r="CS126">
        <f t="shared" si="135"/>
        <v>0</v>
      </c>
      <c r="CT126">
        <f t="shared" si="136"/>
        <v>0</v>
      </c>
      <c r="CU126">
        <f t="shared" si="137"/>
        <v>0</v>
      </c>
      <c r="CV126">
        <f t="shared" si="138"/>
        <v>0</v>
      </c>
      <c r="CW126">
        <f t="shared" si="139"/>
        <v>0</v>
      </c>
      <c r="CX126">
        <f t="shared" si="140"/>
        <v>0</v>
      </c>
      <c r="CY126">
        <f t="shared" si="141"/>
        <v>0</v>
      </c>
      <c r="CZ126">
        <f t="shared" si="142"/>
        <v>0</v>
      </c>
      <c r="DC126" t="s">
        <v>6</v>
      </c>
      <c r="DD126" t="s">
        <v>6</v>
      </c>
      <c r="DE126" t="s">
        <v>6</v>
      </c>
      <c r="DF126" t="s">
        <v>6</v>
      </c>
      <c r="DG126" t="s">
        <v>6</v>
      </c>
      <c r="DH126" t="s">
        <v>6</v>
      </c>
      <c r="DI126" t="s">
        <v>6</v>
      </c>
      <c r="DJ126" t="s">
        <v>6</v>
      </c>
      <c r="DK126" t="s">
        <v>6</v>
      </c>
      <c r="DL126" t="s">
        <v>6</v>
      </c>
      <c r="DM126" t="s">
        <v>6</v>
      </c>
      <c r="DN126">
        <v>0</v>
      </c>
      <c r="DO126">
        <v>0</v>
      </c>
      <c r="DP126">
        <v>1</v>
      </c>
      <c r="DQ126">
        <v>1</v>
      </c>
      <c r="DU126">
        <v>1010</v>
      </c>
      <c r="DV126" t="s">
        <v>350</v>
      </c>
      <c r="DW126" t="s">
        <v>350</v>
      </c>
      <c r="DX126">
        <v>1</v>
      </c>
      <c r="EE126">
        <v>16510488</v>
      </c>
      <c r="EF126">
        <v>2</v>
      </c>
      <c r="EG126" t="s">
        <v>20</v>
      </c>
      <c r="EH126">
        <v>0</v>
      </c>
      <c r="EI126" t="s">
        <v>6</v>
      </c>
      <c r="EJ126">
        <v>1</v>
      </c>
      <c r="EK126">
        <v>11001</v>
      </c>
      <c r="EL126" t="s">
        <v>75</v>
      </c>
      <c r="EM126" t="s">
        <v>83</v>
      </c>
      <c r="EO126" t="s">
        <v>6</v>
      </c>
      <c r="EQ126">
        <v>0</v>
      </c>
      <c r="ER126">
        <v>0</v>
      </c>
      <c r="ES126">
        <v>0</v>
      </c>
      <c r="ET126">
        <v>0</v>
      </c>
      <c r="EU126">
        <v>0</v>
      </c>
      <c r="EV126">
        <v>0</v>
      </c>
      <c r="EW126">
        <v>0</v>
      </c>
      <c r="EX126">
        <v>0</v>
      </c>
      <c r="FQ126">
        <v>0</v>
      </c>
      <c r="FR126">
        <f t="shared" si="143"/>
        <v>0</v>
      </c>
      <c r="FS126">
        <v>0</v>
      </c>
      <c r="FT126" t="s">
        <v>23</v>
      </c>
      <c r="FU126" t="s">
        <v>24</v>
      </c>
      <c r="FX126">
        <v>110.7</v>
      </c>
      <c r="FY126">
        <v>63.75</v>
      </c>
      <c r="GA126" t="s">
        <v>6</v>
      </c>
      <c r="GD126">
        <v>0</v>
      </c>
      <c r="GF126">
        <v>119324816</v>
      </c>
      <c r="GG126">
        <v>1</v>
      </c>
      <c r="GH126">
        <v>1</v>
      </c>
      <c r="GI126">
        <v>4</v>
      </c>
      <c r="GJ126">
        <v>0</v>
      </c>
      <c r="GK126">
        <f>ROUND(R126*(R12)/100,2)</f>
        <v>0</v>
      </c>
      <c r="GL126">
        <f t="shared" si="144"/>
        <v>0</v>
      </c>
      <c r="GM126">
        <f t="shared" si="145"/>
        <v>0</v>
      </c>
      <c r="GN126">
        <f t="shared" si="146"/>
        <v>0</v>
      </c>
      <c r="GO126">
        <f t="shared" si="147"/>
        <v>0</v>
      </c>
      <c r="GP126">
        <f t="shared" si="148"/>
        <v>0</v>
      </c>
      <c r="GR126">
        <v>0</v>
      </c>
      <c r="GS126">
        <v>3</v>
      </c>
      <c r="GT126">
        <v>0</v>
      </c>
      <c r="GU126" t="s">
        <v>6</v>
      </c>
      <c r="GV126">
        <f t="shared" si="149"/>
        <v>0</v>
      </c>
      <c r="GW126">
        <v>1</v>
      </c>
      <c r="GX126">
        <f t="shared" si="150"/>
        <v>0</v>
      </c>
      <c r="HA126">
        <v>0</v>
      </c>
      <c r="HB126">
        <v>0</v>
      </c>
      <c r="HC126">
        <f t="shared" si="151"/>
        <v>0</v>
      </c>
      <c r="IK126">
        <v>0</v>
      </c>
    </row>
    <row r="127" spans="1:245" x14ac:dyDescent="0.2">
      <c r="A127">
        <v>18</v>
      </c>
      <c r="B127">
        <v>1</v>
      </c>
      <c r="C127">
        <v>180</v>
      </c>
      <c r="E127" t="s">
        <v>353</v>
      </c>
      <c r="F127" t="s">
        <v>348</v>
      </c>
      <c r="G127" t="s">
        <v>354</v>
      </c>
      <c r="H127" t="s">
        <v>350</v>
      </c>
      <c r="I127">
        <f>I117*J127</f>
        <v>43</v>
      </c>
      <c r="J127">
        <v>40</v>
      </c>
      <c r="O127">
        <f t="shared" si="117"/>
        <v>0</v>
      </c>
      <c r="P127">
        <f t="shared" si="118"/>
        <v>0</v>
      </c>
      <c r="Q127">
        <f t="shared" si="119"/>
        <v>0</v>
      </c>
      <c r="R127">
        <f t="shared" si="120"/>
        <v>0</v>
      </c>
      <c r="S127">
        <f t="shared" si="121"/>
        <v>0</v>
      </c>
      <c r="T127">
        <f t="shared" si="122"/>
        <v>0</v>
      </c>
      <c r="U127">
        <f t="shared" si="123"/>
        <v>0</v>
      </c>
      <c r="V127">
        <f t="shared" si="124"/>
        <v>0</v>
      </c>
      <c r="W127">
        <f t="shared" si="125"/>
        <v>0</v>
      </c>
      <c r="X127">
        <f t="shared" si="126"/>
        <v>0</v>
      </c>
      <c r="Y127">
        <f t="shared" si="127"/>
        <v>0</v>
      </c>
      <c r="AA127">
        <v>16808636</v>
      </c>
      <c r="AB127">
        <f t="shared" si="128"/>
        <v>0</v>
      </c>
      <c r="AC127">
        <f t="shared" si="129"/>
        <v>0</v>
      </c>
      <c r="AD127">
        <f t="shared" si="154"/>
        <v>0</v>
      </c>
      <c r="AE127">
        <f t="shared" si="155"/>
        <v>0</v>
      </c>
      <c r="AF127">
        <f t="shared" si="156"/>
        <v>0</v>
      </c>
      <c r="AG127">
        <f t="shared" si="130"/>
        <v>0</v>
      </c>
      <c r="AH127">
        <f t="shared" si="157"/>
        <v>0</v>
      </c>
      <c r="AI127">
        <f t="shared" si="158"/>
        <v>0</v>
      </c>
      <c r="AJ127">
        <f t="shared" si="131"/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111</v>
      </c>
      <c r="AU127">
        <v>64</v>
      </c>
      <c r="AV127">
        <v>1</v>
      </c>
      <c r="AW127">
        <v>1</v>
      </c>
      <c r="AZ127">
        <v>6.71</v>
      </c>
      <c r="BA127">
        <v>1</v>
      </c>
      <c r="BB127">
        <v>1</v>
      </c>
      <c r="BC127">
        <v>6.71</v>
      </c>
      <c r="BD127" t="s">
        <v>6</v>
      </c>
      <c r="BE127" t="s">
        <v>6</v>
      </c>
      <c r="BF127" t="s">
        <v>6</v>
      </c>
      <c r="BG127" t="s">
        <v>6</v>
      </c>
      <c r="BH127">
        <v>3</v>
      </c>
      <c r="BI127">
        <v>1</v>
      </c>
      <c r="BJ127" t="s">
        <v>6</v>
      </c>
      <c r="BM127">
        <v>11001</v>
      </c>
      <c r="BN127">
        <v>0</v>
      </c>
      <c r="BO127" t="s">
        <v>6</v>
      </c>
      <c r="BP127">
        <v>0</v>
      </c>
      <c r="BQ127">
        <v>2</v>
      </c>
      <c r="BR127">
        <v>0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6</v>
      </c>
      <c r="BZ127">
        <v>123</v>
      </c>
      <c r="CA127">
        <v>75</v>
      </c>
      <c r="CE127">
        <v>0</v>
      </c>
      <c r="CF127">
        <v>0</v>
      </c>
      <c r="CG127">
        <v>0</v>
      </c>
      <c r="CM127">
        <v>0</v>
      </c>
      <c r="CN127" t="s">
        <v>6</v>
      </c>
      <c r="CO127">
        <v>0</v>
      </c>
      <c r="CP127">
        <f t="shared" si="132"/>
        <v>0</v>
      </c>
      <c r="CQ127">
        <f t="shared" si="133"/>
        <v>0</v>
      </c>
      <c r="CR127">
        <f t="shared" si="134"/>
        <v>0</v>
      </c>
      <c r="CS127">
        <f t="shared" si="135"/>
        <v>0</v>
      </c>
      <c r="CT127">
        <f t="shared" si="136"/>
        <v>0</v>
      </c>
      <c r="CU127">
        <f t="shared" si="137"/>
        <v>0</v>
      </c>
      <c r="CV127">
        <f t="shared" si="138"/>
        <v>0</v>
      </c>
      <c r="CW127">
        <f t="shared" si="139"/>
        <v>0</v>
      </c>
      <c r="CX127">
        <f t="shared" si="140"/>
        <v>0</v>
      </c>
      <c r="CY127">
        <f t="shared" si="141"/>
        <v>0</v>
      </c>
      <c r="CZ127">
        <f t="shared" si="142"/>
        <v>0</v>
      </c>
      <c r="DC127" t="s">
        <v>6</v>
      </c>
      <c r="DD127" t="s">
        <v>6</v>
      </c>
      <c r="DE127" t="s">
        <v>6</v>
      </c>
      <c r="DF127" t="s">
        <v>6</v>
      </c>
      <c r="DG127" t="s">
        <v>6</v>
      </c>
      <c r="DH127" t="s">
        <v>6</v>
      </c>
      <c r="DI127" t="s">
        <v>6</v>
      </c>
      <c r="DJ127" t="s">
        <v>6</v>
      </c>
      <c r="DK127" t="s">
        <v>6</v>
      </c>
      <c r="DL127" t="s">
        <v>6</v>
      </c>
      <c r="DM127" t="s">
        <v>6</v>
      </c>
      <c r="DN127">
        <v>0</v>
      </c>
      <c r="DO127">
        <v>0</v>
      </c>
      <c r="DP127">
        <v>1</v>
      </c>
      <c r="DQ127">
        <v>1</v>
      </c>
      <c r="DU127">
        <v>1010</v>
      </c>
      <c r="DV127" t="s">
        <v>350</v>
      </c>
      <c r="DW127" t="s">
        <v>350</v>
      </c>
      <c r="DX127">
        <v>1</v>
      </c>
      <c r="EE127">
        <v>16510488</v>
      </c>
      <c r="EF127">
        <v>2</v>
      </c>
      <c r="EG127" t="s">
        <v>20</v>
      </c>
      <c r="EH127">
        <v>0</v>
      </c>
      <c r="EI127" t="s">
        <v>6</v>
      </c>
      <c r="EJ127">
        <v>1</v>
      </c>
      <c r="EK127">
        <v>11001</v>
      </c>
      <c r="EL127" t="s">
        <v>75</v>
      </c>
      <c r="EM127" t="s">
        <v>83</v>
      </c>
      <c r="EO127" t="s">
        <v>6</v>
      </c>
      <c r="EQ127">
        <v>0</v>
      </c>
      <c r="ER127">
        <v>0</v>
      </c>
      <c r="ES127">
        <v>0</v>
      </c>
      <c r="ET127">
        <v>0</v>
      </c>
      <c r="EU127">
        <v>0</v>
      </c>
      <c r="EV127">
        <v>0</v>
      </c>
      <c r="EW127">
        <v>0</v>
      </c>
      <c r="EX127">
        <v>0</v>
      </c>
      <c r="FQ127">
        <v>0</v>
      </c>
      <c r="FR127">
        <f t="shared" si="143"/>
        <v>0</v>
      </c>
      <c r="FS127">
        <v>0</v>
      </c>
      <c r="FT127" t="s">
        <v>23</v>
      </c>
      <c r="FU127" t="s">
        <v>24</v>
      </c>
      <c r="FX127">
        <v>110.7</v>
      </c>
      <c r="FY127">
        <v>63.75</v>
      </c>
      <c r="GA127" t="s">
        <v>6</v>
      </c>
      <c r="GD127">
        <v>0</v>
      </c>
      <c r="GF127">
        <v>2133044040</v>
      </c>
      <c r="GG127">
        <v>1</v>
      </c>
      <c r="GH127">
        <v>1</v>
      </c>
      <c r="GI127">
        <v>4</v>
      </c>
      <c r="GJ127">
        <v>0</v>
      </c>
      <c r="GK127">
        <f>ROUND(R127*(R12)/100,2)</f>
        <v>0</v>
      </c>
      <c r="GL127">
        <f t="shared" si="144"/>
        <v>0</v>
      </c>
      <c r="GM127">
        <f t="shared" si="145"/>
        <v>0</v>
      </c>
      <c r="GN127">
        <f t="shared" si="146"/>
        <v>0</v>
      </c>
      <c r="GO127">
        <f t="shared" si="147"/>
        <v>0</v>
      </c>
      <c r="GP127">
        <f t="shared" si="148"/>
        <v>0</v>
      </c>
      <c r="GR127">
        <v>0</v>
      </c>
      <c r="GS127">
        <v>3</v>
      </c>
      <c r="GT127">
        <v>0</v>
      </c>
      <c r="GU127" t="s">
        <v>6</v>
      </c>
      <c r="GV127">
        <f t="shared" si="149"/>
        <v>0</v>
      </c>
      <c r="GW127">
        <v>1</v>
      </c>
      <c r="GX127">
        <f t="shared" si="150"/>
        <v>0</v>
      </c>
      <c r="HA127">
        <v>0</v>
      </c>
      <c r="HB127">
        <v>0</v>
      </c>
      <c r="HC127">
        <f t="shared" si="151"/>
        <v>0</v>
      </c>
      <c r="IK127">
        <v>0</v>
      </c>
    </row>
    <row r="128" spans="1:245" x14ac:dyDescent="0.2">
      <c r="A128">
        <v>18</v>
      </c>
      <c r="B128">
        <v>1</v>
      </c>
      <c r="C128">
        <v>181</v>
      </c>
      <c r="E128" t="s">
        <v>355</v>
      </c>
      <c r="F128" t="s">
        <v>348</v>
      </c>
      <c r="G128" t="s">
        <v>356</v>
      </c>
      <c r="H128" t="s">
        <v>350</v>
      </c>
      <c r="I128">
        <f>I117*J128</f>
        <v>8</v>
      </c>
      <c r="J128">
        <v>7.441860465116279</v>
      </c>
      <c r="O128">
        <f t="shared" si="117"/>
        <v>0</v>
      </c>
      <c r="P128">
        <f t="shared" si="118"/>
        <v>0</v>
      </c>
      <c r="Q128">
        <f t="shared" si="119"/>
        <v>0</v>
      </c>
      <c r="R128">
        <f t="shared" si="120"/>
        <v>0</v>
      </c>
      <c r="S128">
        <f t="shared" si="121"/>
        <v>0</v>
      </c>
      <c r="T128">
        <f t="shared" si="122"/>
        <v>0</v>
      </c>
      <c r="U128">
        <f t="shared" si="123"/>
        <v>0</v>
      </c>
      <c r="V128">
        <f t="shared" si="124"/>
        <v>0</v>
      </c>
      <c r="W128">
        <f t="shared" si="125"/>
        <v>0</v>
      </c>
      <c r="X128">
        <f t="shared" si="126"/>
        <v>0</v>
      </c>
      <c r="Y128">
        <f t="shared" si="127"/>
        <v>0</v>
      </c>
      <c r="AA128">
        <v>16808636</v>
      </c>
      <c r="AB128">
        <f t="shared" si="128"/>
        <v>0</v>
      </c>
      <c r="AC128">
        <f t="shared" si="129"/>
        <v>0</v>
      </c>
      <c r="AD128">
        <f t="shared" si="154"/>
        <v>0</v>
      </c>
      <c r="AE128">
        <f t="shared" si="155"/>
        <v>0</v>
      </c>
      <c r="AF128">
        <f t="shared" si="156"/>
        <v>0</v>
      </c>
      <c r="AG128">
        <f t="shared" si="130"/>
        <v>0</v>
      </c>
      <c r="AH128">
        <f t="shared" si="157"/>
        <v>0</v>
      </c>
      <c r="AI128">
        <f t="shared" si="158"/>
        <v>0</v>
      </c>
      <c r="AJ128">
        <f t="shared" si="131"/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111</v>
      </c>
      <c r="AU128">
        <v>64</v>
      </c>
      <c r="AV128">
        <v>1</v>
      </c>
      <c r="AW128">
        <v>1</v>
      </c>
      <c r="AZ128">
        <v>6.71</v>
      </c>
      <c r="BA128">
        <v>1</v>
      </c>
      <c r="BB128">
        <v>1</v>
      </c>
      <c r="BC128">
        <v>6.71</v>
      </c>
      <c r="BD128" t="s">
        <v>6</v>
      </c>
      <c r="BE128" t="s">
        <v>6</v>
      </c>
      <c r="BF128" t="s">
        <v>6</v>
      </c>
      <c r="BG128" t="s">
        <v>6</v>
      </c>
      <c r="BH128">
        <v>3</v>
      </c>
      <c r="BI128">
        <v>1</v>
      </c>
      <c r="BJ128" t="s">
        <v>6</v>
      </c>
      <c r="BM128">
        <v>11001</v>
      </c>
      <c r="BN128">
        <v>0</v>
      </c>
      <c r="BO128" t="s">
        <v>6</v>
      </c>
      <c r="BP128">
        <v>0</v>
      </c>
      <c r="BQ128">
        <v>2</v>
      </c>
      <c r="BR128">
        <v>0</v>
      </c>
      <c r="BS128">
        <v>1</v>
      </c>
      <c r="BT128">
        <v>1</v>
      </c>
      <c r="BU128">
        <v>1</v>
      </c>
      <c r="BV128">
        <v>1</v>
      </c>
      <c r="BW128">
        <v>1</v>
      </c>
      <c r="BX128">
        <v>1</v>
      </c>
      <c r="BY128" t="s">
        <v>6</v>
      </c>
      <c r="BZ128">
        <v>123</v>
      </c>
      <c r="CA128">
        <v>75</v>
      </c>
      <c r="CE128">
        <v>0</v>
      </c>
      <c r="CF128">
        <v>0</v>
      </c>
      <c r="CG128">
        <v>0</v>
      </c>
      <c r="CM128">
        <v>0</v>
      </c>
      <c r="CN128" t="s">
        <v>6</v>
      </c>
      <c r="CO128">
        <v>0</v>
      </c>
      <c r="CP128">
        <f t="shared" si="132"/>
        <v>0</v>
      </c>
      <c r="CQ128">
        <f t="shared" si="133"/>
        <v>0</v>
      </c>
      <c r="CR128">
        <f t="shared" si="134"/>
        <v>0</v>
      </c>
      <c r="CS128">
        <f t="shared" si="135"/>
        <v>0</v>
      </c>
      <c r="CT128">
        <f t="shared" si="136"/>
        <v>0</v>
      </c>
      <c r="CU128">
        <f t="shared" si="137"/>
        <v>0</v>
      </c>
      <c r="CV128">
        <f t="shared" si="138"/>
        <v>0</v>
      </c>
      <c r="CW128">
        <f t="shared" si="139"/>
        <v>0</v>
      </c>
      <c r="CX128">
        <f t="shared" si="140"/>
        <v>0</v>
      </c>
      <c r="CY128">
        <f t="shared" si="141"/>
        <v>0</v>
      </c>
      <c r="CZ128">
        <f t="shared" si="142"/>
        <v>0</v>
      </c>
      <c r="DC128" t="s">
        <v>6</v>
      </c>
      <c r="DD128" t="s">
        <v>6</v>
      </c>
      <c r="DE128" t="s">
        <v>6</v>
      </c>
      <c r="DF128" t="s">
        <v>6</v>
      </c>
      <c r="DG128" t="s">
        <v>6</v>
      </c>
      <c r="DH128" t="s">
        <v>6</v>
      </c>
      <c r="DI128" t="s">
        <v>6</v>
      </c>
      <c r="DJ128" t="s">
        <v>6</v>
      </c>
      <c r="DK128" t="s">
        <v>6</v>
      </c>
      <c r="DL128" t="s">
        <v>6</v>
      </c>
      <c r="DM128" t="s">
        <v>6</v>
      </c>
      <c r="DN128">
        <v>0</v>
      </c>
      <c r="DO128">
        <v>0</v>
      </c>
      <c r="DP128">
        <v>1</v>
      </c>
      <c r="DQ128">
        <v>1</v>
      </c>
      <c r="DU128">
        <v>1010</v>
      </c>
      <c r="DV128" t="s">
        <v>350</v>
      </c>
      <c r="DW128" t="s">
        <v>350</v>
      </c>
      <c r="DX128">
        <v>1</v>
      </c>
      <c r="EE128">
        <v>16510488</v>
      </c>
      <c r="EF128">
        <v>2</v>
      </c>
      <c r="EG128" t="s">
        <v>20</v>
      </c>
      <c r="EH128">
        <v>0</v>
      </c>
      <c r="EI128" t="s">
        <v>6</v>
      </c>
      <c r="EJ128">
        <v>1</v>
      </c>
      <c r="EK128">
        <v>11001</v>
      </c>
      <c r="EL128" t="s">
        <v>75</v>
      </c>
      <c r="EM128" t="s">
        <v>83</v>
      </c>
      <c r="EO128" t="s">
        <v>6</v>
      </c>
      <c r="EQ128">
        <v>0</v>
      </c>
      <c r="ER128">
        <v>0</v>
      </c>
      <c r="ES128">
        <v>0</v>
      </c>
      <c r="ET128">
        <v>0</v>
      </c>
      <c r="EU128">
        <v>0</v>
      </c>
      <c r="EV128">
        <v>0</v>
      </c>
      <c r="EW128">
        <v>0</v>
      </c>
      <c r="EX128">
        <v>0</v>
      </c>
      <c r="FQ128">
        <v>0</v>
      </c>
      <c r="FR128">
        <f t="shared" si="143"/>
        <v>0</v>
      </c>
      <c r="FS128">
        <v>0</v>
      </c>
      <c r="FT128" t="s">
        <v>23</v>
      </c>
      <c r="FU128" t="s">
        <v>24</v>
      </c>
      <c r="FX128">
        <v>110.7</v>
      </c>
      <c r="FY128">
        <v>63.75</v>
      </c>
      <c r="GA128" t="s">
        <v>6</v>
      </c>
      <c r="GD128">
        <v>0</v>
      </c>
      <c r="GF128">
        <v>1953413105</v>
      </c>
      <c r="GG128">
        <v>1</v>
      </c>
      <c r="GH128">
        <v>1</v>
      </c>
      <c r="GI128">
        <v>4</v>
      </c>
      <c r="GJ128">
        <v>0</v>
      </c>
      <c r="GK128">
        <f>ROUND(R128*(R12)/100,2)</f>
        <v>0</v>
      </c>
      <c r="GL128">
        <f t="shared" si="144"/>
        <v>0</v>
      </c>
      <c r="GM128">
        <f t="shared" si="145"/>
        <v>0</v>
      </c>
      <c r="GN128">
        <f t="shared" si="146"/>
        <v>0</v>
      </c>
      <c r="GO128">
        <f t="shared" si="147"/>
        <v>0</v>
      </c>
      <c r="GP128">
        <f t="shared" si="148"/>
        <v>0</v>
      </c>
      <c r="GR128">
        <v>0</v>
      </c>
      <c r="GS128">
        <v>3</v>
      </c>
      <c r="GT128">
        <v>0</v>
      </c>
      <c r="GU128" t="s">
        <v>6</v>
      </c>
      <c r="GV128">
        <f t="shared" si="149"/>
        <v>0</v>
      </c>
      <c r="GW128">
        <v>1</v>
      </c>
      <c r="GX128">
        <f t="shared" si="150"/>
        <v>0</v>
      </c>
      <c r="HA128">
        <v>0</v>
      </c>
      <c r="HB128">
        <v>0</v>
      </c>
      <c r="HC128">
        <f t="shared" si="151"/>
        <v>0</v>
      </c>
      <c r="IK128">
        <v>0</v>
      </c>
    </row>
    <row r="129" spans="1:245" x14ac:dyDescent="0.2">
      <c r="A129">
        <v>18</v>
      </c>
      <c r="B129">
        <v>1</v>
      </c>
      <c r="C129">
        <v>182</v>
      </c>
      <c r="E129" t="s">
        <v>357</v>
      </c>
      <c r="F129" t="s">
        <v>348</v>
      </c>
      <c r="G129" t="s">
        <v>358</v>
      </c>
      <c r="H129" t="s">
        <v>350</v>
      </c>
      <c r="I129">
        <f>I117*J129</f>
        <v>8</v>
      </c>
      <c r="J129">
        <v>7.441860465116279</v>
      </c>
      <c r="O129">
        <f t="shared" si="117"/>
        <v>0</v>
      </c>
      <c r="P129">
        <f t="shared" si="118"/>
        <v>0</v>
      </c>
      <c r="Q129">
        <f t="shared" si="119"/>
        <v>0</v>
      </c>
      <c r="R129">
        <f t="shared" si="120"/>
        <v>0</v>
      </c>
      <c r="S129">
        <f t="shared" si="121"/>
        <v>0</v>
      </c>
      <c r="T129">
        <f t="shared" si="122"/>
        <v>0</v>
      </c>
      <c r="U129">
        <f t="shared" si="123"/>
        <v>0</v>
      </c>
      <c r="V129">
        <f t="shared" si="124"/>
        <v>0</v>
      </c>
      <c r="W129">
        <f t="shared" si="125"/>
        <v>0</v>
      </c>
      <c r="X129">
        <f t="shared" si="126"/>
        <v>0</v>
      </c>
      <c r="Y129">
        <f t="shared" si="127"/>
        <v>0</v>
      </c>
      <c r="AA129">
        <v>16808636</v>
      </c>
      <c r="AB129">
        <f t="shared" si="128"/>
        <v>0</v>
      </c>
      <c r="AC129">
        <f t="shared" si="129"/>
        <v>0</v>
      </c>
      <c r="AD129">
        <f t="shared" si="154"/>
        <v>0</v>
      </c>
      <c r="AE129">
        <f t="shared" si="155"/>
        <v>0</v>
      </c>
      <c r="AF129">
        <f t="shared" si="156"/>
        <v>0</v>
      </c>
      <c r="AG129">
        <f t="shared" si="130"/>
        <v>0</v>
      </c>
      <c r="AH129">
        <f t="shared" si="157"/>
        <v>0</v>
      </c>
      <c r="AI129">
        <f t="shared" si="158"/>
        <v>0</v>
      </c>
      <c r="AJ129">
        <f t="shared" si="131"/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111</v>
      </c>
      <c r="AU129">
        <v>64</v>
      </c>
      <c r="AV129">
        <v>1</v>
      </c>
      <c r="AW129">
        <v>1</v>
      </c>
      <c r="AZ129">
        <v>6.71</v>
      </c>
      <c r="BA129">
        <v>1</v>
      </c>
      <c r="BB129">
        <v>1</v>
      </c>
      <c r="BC129">
        <v>6.71</v>
      </c>
      <c r="BD129" t="s">
        <v>6</v>
      </c>
      <c r="BE129" t="s">
        <v>6</v>
      </c>
      <c r="BF129" t="s">
        <v>6</v>
      </c>
      <c r="BG129" t="s">
        <v>6</v>
      </c>
      <c r="BH129">
        <v>3</v>
      </c>
      <c r="BI129">
        <v>1</v>
      </c>
      <c r="BJ129" t="s">
        <v>6</v>
      </c>
      <c r="BM129">
        <v>11001</v>
      </c>
      <c r="BN129">
        <v>0</v>
      </c>
      <c r="BO129" t="s">
        <v>6</v>
      </c>
      <c r="BP129">
        <v>0</v>
      </c>
      <c r="BQ129">
        <v>2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6</v>
      </c>
      <c r="BZ129">
        <v>123</v>
      </c>
      <c r="CA129">
        <v>75</v>
      </c>
      <c r="CE129">
        <v>0</v>
      </c>
      <c r="CF129">
        <v>0</v>
      </c>
      <c r="CG129">
        <v>0</v>
      </c>
      <c r="CM129">
        <v>0</v>
      </c>
      <c r="CN129" t="s">
        <v>6</v>
      </c>
      <c r="CO129">
        <v>0</v>
      </c>
      <c r="CP129">
        <f t="shared" si="132"/>
        <v>0</v>
      </c>
      <c r="CQ129">
        <f t="shared" si="133"/>
        <v>0</v>
      </c>
      <c r="CR129">
        <f t="shared" si="134"/>
        <v>0</v>
      </c>
      <c r="CS129">
        <f t="shared" si="135"/>
        <v>0</v>
      </c>
      <c r="CT129">
        <f t="shared" si="136"/>
        <v>0</v>
      </c>
      <c r="CU129">
        <f t="shared" si="137"/>
        <v>0</v>
      </c>
      <c r="CV129">
        <f t="shared" si="138"/>
        <v>0</v>
      </c>
      <c r="CW129">
        <f t="shared" si="139"/>
        <v>0</v>
      </c>
      <c r="CX129">
        <f t="shared" si="140"/>
        <v>0</v>
      </c>
      <c r="CY129">
        <f t="shared" si="141"/>
        <v>0</v>
      </c>
      <c r="CZ129">
        <f t="shared" si="142"/>
        <v>0</v>
      </c>
      <c r="DC129" t="s">
        <v>6</v>
      </c>
      <c r="DD129" t="s">
        <v>6</v>
      </c>
      <c r="DE129" t="s">
        <v>6</v>
      </c>
      <c r="DF129" t="s">
        <v>6</v>
      </c>
      <c r="DG129" t="s">
        <v>6</v>
      </c>
      <c r="DH129" t="s">
        <v>6</v>
      </c>
      <c r="DI129" t="s">
        <v>6</v>
      </c>
      <c r="DJ129" t="s">
        <v>6</v>
      </c>
      <c r="DK129" t="s">
        <v>6</v>
      </c>
      <c r="DL129" t="s">
        <v>6</v>
      </c>
      <c r="DM129" t="s">
        <v>6</v>
      </c>
      <c r="DN129">
        <v>0</v>
      </c>
      <c r="DO129">
        <v>0</v>
      </c>
      <c r="DP129">
        <v>1</v>
      </c>
      <c r="DQ129">
        <v>1</v>
      </c>
      <c r="DU129">
        <v>1010</v>
      </c>
      <c r="DV129" t="s">
        <v>350</v>
      </c>
      <c r="DW129" t="s">
        <v>350</v>
      </c>
      <c r="DX129">
        <v>1</v>
      </c>
      <c r="EE129">
        <v>16510488</v>
      </c>
      <c r="EF129">
        <v>2</v>
      </c>
      <c r="EG129" t="s">
        <v>20</v>
      </c>
      <c r="EH129">
        <v>0</v>
      </c>
      <c r="EI129" t="s">
        <v>6</v>
      </c>
      <c r="EJ129">
        <v>1</v>
      </c>
      <c r="EK129">
        <v>11001</v>
      </c>
      <c r="EL129" t="s">
        <v>75</v>
      </c>
      <c r="EM129" t="s">
        <v>83</v>
      </c>
      <c r="EO129" t="s">
        <v>6</v>
      </c>
      <c r="EQ129">
        <v>0</v>
      </c>
      <c r="ER129">
        <v>0</v>
      </c>
      <c r="ES129">
        <v>0</v>
      </c>
      <c r="ET129">
        <v>0</v>
      </c>
      <c r="EU129">
        <v>0</v>
      </c>
      <c r="EV129">
        <v>0</v>
      </c>
      <c r="EW129">
        <v>0</v>
      </c>
      <c r="EX129">
        <v>0</v>
      </c>
      <c r="FQ129">
        <v>0</v>
      </c>
      <c r="FR129">
        <f t="shared" si="143"/>
        <v>0</v>
      </c>
      <c r="FS129">
        <v>0</v>
      </c>
      <c r="FT129" t="s">
        <v>23</v>
      </c>
      <c r="FU129" t="s">
        <v>24</v>
      </c>
      <c r="FX129">
        <v>110.7</v>
      </c>
      <c r="FY129">
        <v>63.75</v>
      </c>
      <c r="GA129" t="s">
        <v>6</v>
      </c>
      <c r="GD129">
        <v>0</v>
      </c>
      <c r="GF129">
        <v>-333106949</v>
      </c>
      <c r="GG129">
        <v>1</v>
      </c>
      <c r="GH129">
        <v>1</v>
      </c>
      <c r="GI129">
        <v>4</v>
      </c>
      <c r="GJ129">
        <v>0</v>
      </c>
      <c r="GK129">
        <f>ROUND(R129*(R12)/100,2)</f>
        <v>0</v>
      </c>
      <c r="GL129">
        <f t="shared" si="144"/>
        <v>0</v>
      </c>
      <c r="GM129">
        <f t="shared" si="145"/>
        <v>0</v>
      </c>
      <c r="GN129">
        <f t="shared" si="146"/>
        <v>0</v>
      </c>
      <c r="GO129">
        <f t="shared" si="147"/>
        <v>0</v>
      </c>
      <c r="GP129">
        <f t="shared" si="148"/>
        <v>0</v>
      </c>
      <c r="GR129">
        <v>0</v>
      </c>
      <c r="GS129">
        <v>3</v>
      </c>
      <c r="GT129">
        <v>0</v>
      </c>
      <c r="GU129" t="s">
        <v>6</v>
      </c>
      <c r="GV129">
        <f t="shared" si="149"/>
        <v>0</v>
      </c>
      <c r="GW129">
        <v>1</v>
      </c>
      <c r="GX129">
        <f t="shared" si="150"/>
        <v>0</v>
      </c>
      <c r="HA129">
        <v>0</v>
      </c>
      <c r="HB129">
        <v>0</v>
      </c>
      <c r="HC129">
        <f t="shared" si="151"/>
        <v>0</v>
      </c>
      <c r="IK129">
        <v>0</v>
      </c>
    </row>
    <row r="130" spans="1:245" x14ac:dyDescent="0.2">
      <c r="A130">
        <v>17</v>
      </c>
      <c r="B130">
        <v>1</v>
      </c>
      <c r="C130">
        <f>ROW(SmtRes!A199)</f>
        <v>199</v>
      </c>
      <c r="D130">
        <f>ROW(EtalonRes!A186)</f>
        <v>186</v>
      </c>
      <c r="E130" t="s">
        <v>359</v>
      </c>
      <c r="F130" t="s">
        <v>360</v>
      </c>
      <c r="G130" t="s">
        <v>361</v>
      </c>
      <c r="H130" t="s">
        <v>18</v>
      </c>
      <c r="I130">
        <f>ROUND(5.4/100,9)</f>
        <v>5.3999999999999999E-2</v>
      </c>
      <c r="J130">
        <v>0</v>
      </c>
      <c r="O130">
        <f t="shared" si="117"/>
        <v>751.34</v>
      </c>
      <c r="P130">
        <f t="shared" si="118"/>
        <v>1.1499999999999999</v>
      </c>
      <c r="Q130">
        <f t="shared" si="119"/>
        <v>17.260000000000002</v>
      </c>
      <c r="R130">
        <f t="shared" si="120"/>
        <v>9.5299999999999994</v>
      </c>
      <c r="S130">
        <f t="shared" si="121"/>
        <v>732.93</v>
      </c>
      <c r="T130">
        <f t="shared" si="122"/>
        <v>0</v>
      </c>
      <c r="U130">
        <f t="shared" si="123"/>
        <v>11.898608399999997</v>
      </c>
      <c r="V130">
        <f t="shared" si="124"/>
        <v>0.13364999999999999</v>
      </c>
      <c r="W130">
        <f t="shared" si="125"/>
        <v>0</v>
      </c>
      <c r="X130">
        <f t="shared" si="126"/>
        <v>705.34</v>
      </c>
      <c r="Y130">
        <f t="shared" si="127"/>
        <v>348.96</v>
      </c>
      <c r="AA130">
        <v>16808636</v>
      </c>
      <c r="AB130">
        <f t="shared" si="128"/>
        <v>2073.5700000000002</v>
      </c>
      <c r="AC130">
        <f t="shared" si="129"/>
        <v>3.18</v>
      </c>
      <c r="AD130">
        <f>ROUND((((((ET130*1.25)*1.2))-(((EU130*1.25)*1.2)))+AE130),2)</f>
        <v>47.63</v>
      </c>
      <c r="AE130">
        <f>ROUND((((EU130*1.25)*1.2)),2)</f>
        <v>26.3</v>
      </c>
      <c r="AF130">
        <f>ROUND((((EV130*1.15)*1.2)),2)</f>
        <v>2022.76</v>
      </c>
      <c r="AG130">
        <f t="shared" si="130"/>
        <v>0</v>
      </c>
      <c r="AH130">
        <f>(((EW130*1.15)*1.2))</f>
        <v>220.34459999999996</v>
      </c>
      <c r="AI130">
        <f>(((EX130*1.25)*1.2))</f>
        <v>2.4750000000000001</v>
      </c>
      <c r="AJ130">
        <f t="shared" si="131"/>
        <v>0</v>
      </c>
      <c r="AK130">
        <v>1500.7</v>
      </c>
      <c r="AL130">
        <v>3.18</v>
      </c>
      <c r="AM130">
        <v>31.75</v>
      </c>
      <c r="AN130">
        <v>17.53</v>
      </c>
      <c r="AO130">
        <v>1465.77</v>
      </c>
      <c r="AP130">
        <v>0</v>
      </c>
      <c r="AQ130">
        <v>159.66999999999999</v>
      </c>
      <c r="AR130">
        <v>1.65</v>
      </c>
      <c r="AS130">
        <v>0</v>
      </c>
      <c r="AT130">
        <v>95</v>
      </c>
      <c r="AU130">
        <v>47</v>
      </c>
      <c r="AV130">
        <v>1</v>
      </c>
      <c r="AW130">
        <v>1</v>
      </c>
      <c r="AZ130">
        <v>6.71</v>
      </c>
      <c r="BA130">
        <v>6.71</v>
      </c>
      <c r="BB130">
        <v>6.71</v>
      </c>
      <c r="BC130">
        <v>6.71</v>
      </c>
      <c r="BD130" t="s">
        <v>6</v>
      </c>
      <c r="BE130" t="s">
        <v>6</v>
      </c>
      <c r="BF130" t="s">
        <v>6</v>
      </c>
      <c r="BG130" t="s">
        <v>6</v>
      </c>
      <c r="BH130">
        <v>0</v>
      </c>
      <c r="BI130">
        <v>1</v>
      </c>
      <c r="BJ130" t="s">
        <v>362</v>
      </c>
      <c r="BM130">
        <v>15001</v>
      </c>
      <c r="BN130">
        <v>0</v>
      </c>
      <c r="BO130" t="s">
        <v>6</v>
      </c>
      <c r="BP130">
        <v>0</v>
      </c>
      <c r="BQ130">
        <v>2</v>
      </c>
      <c r="BR130">
        <v>0</v>
      </c>
      <c r="BS130">
        <v>6.71</v>
      </c>
      <c r="BT130">
        <v>1</v>
      </c>
      <c r="BU130">
        <v>1</v>
      </c>
      <c r="BV130">
        <v>1</v>
      </c>
      <c r="BW130">
        <v>1</v>
      </c>
      <c r="BX130">
        <v>1</v>
      </c>
      <c r="BY130" t="s">
        <v>6</v>
      </c>
      <c r="BZ130">
        <v>105</v>
      </c>
      <c r="CA130">
        <v>55</v>
      </c>
      <c r="CE130">
        <v>0</v>
      </c>
      <c r="CF130">
        <v>0</v>
      </c>
      <c r="CG130">
        <v>0</v>
      </c>
      <c r="CM130">
        <v>0</v>
      </c>
      <c r="CN130" t="s">
        <v>1057</v>
      </c>
      <c r="CO130">
        <v>0</v>
      </c>
      <c r="CP130">
        <f t="shared" si="132"/>
        <v>751.33999999999992</v>
      </c>
      <c r="CQ130">
        <f t="shared" si="133"/>
        <v>21.337800000000001</v>
      </c>
      <c r="CR130">
        <f t="shared" si="134"/>
        <v>319.59730000000002</v>
      </c>
      <c r="CS130">
        <f t="shared" si="135"/>
        <v>176.47300000000001</v>
      </c>
      <c r="CT130">
        <f t="shared" si="136"/>
        <v>13572.7196</v>
      </c>
      <c r="CU130">
        <f t="shared" si="137"/>
        <v>0</v>
      </c>
      <c r="CV130">
        <f t="shared" si="138"/>
        <v>220.34459999999996</v>
      </c>
      <c r="CW130">
        <f t="shared" si="139"/>
        <v>2.4750000000000001</v>
      </c>
      <c r="CX130">
        <f t="shared" si="140"/>
        <v>0</v>
      </c>
      <c r="CY130">
        <f t="shared" si="141"/>
        <v>705.33699999999999</v>
      </c>
      <c r="CZ130">
        <f t="shared" si="142"/>
        <v>348.95619999999997</v>
      </c>
      <c r="DC130" t="s">
        <v>6</v>
      </c>
      <c r="DD130" t="s">
        <v>6</v>
      </c>
      <c r="DE130" t="s">
        <v>174</v>
      </c>
      <c r="DF130" t="s">
        <v>174</v>
      </c>
      <c r="DG130" t="s">
        <v>175</v>
      </c>
      <c r="DH130" t="s">
        <v>6</v>
      </c>
      <c r="DI130" t="s">
        <v>175</v>
      </c>
      <c r="DJ130" t="s">
        <v>174</v>
      </c>
      <c r="DK130" t="s">
        <v>6</v>
      </c>
      <c r="DL130" t="s">
        <v>6</v>
      </c>
      <c r="DM130" t="s">
        <v>6</v>
      </c>
      <c r="DN130">
        <v>0</v>
      </c>
      <c r="DO130">
        <v>0</v>
      </c>
      <c r="DP130">
        <v>1</v>
      </c>
      <c r="DQ130">
        <v>1</v>
      </c>
      <c r="DU130">
        <v>1005</v>
      </c>
      <c r="DV130" t="s">
        <v>18</v>
      </c>
      <c r="DW130" t="s">
        <v>18</v>
      </c>
      <c r="DX130">
        <v>100</v>
      </c>
      <c r="EE130">
        <v>16510513</v>
      </c>
      <c r="EF130">
        <v>2</v>
      </c>
      <c r="EG130" t="s">
        <v>20</v>
      </c>
      <c r="EH130">
        <v>0</v>
      </c>
      <c r="EI130" t="s">
        <v>6</v>
      </c>
      <c r="EJ130">
        <v>1</v>
      </c>
      <c r="EK130">
        <v>15001</v>
      </c>
      <c r="EL130" t="s">
        <v>223</v>
      </c>
      <c r="EM130" t="s">
        <v>224</v>
      </c>
      <c r="EO130" t="s">
        <v>178</v>
      </c>
      <c r="EQ130">
        <v>0</v>
      </c>
      <c r="ER130">
        <v>1500.7</v>
      </c>
      <c r="ES130">
        <v>3.18</v>
      </c>
      <c r="ET130">
        <v>31.75</v>
      </c>
      <c r="EU130">
        <v>17.53</v>
      </c>
      <c r="EV130">
        <v>1465.77</v>
      </c>
      <c r="EW130">
        <v>159.66999999999999</v>
      </c>
      <c r="EX130">
        <v>1.65</v>
      </c>
      <c r="EY130">
        <v>0</v>
      </c>
      <c r="FQ130">
        <v>0</v>
      </c>
      <c r="FR130">
        <f t="shared" si="143"/>
        <v>0</v>
      </c>
      <c r="FS130">
        <v>0</v>
      </c>
      <c r="FT130" t="s">
        <v>23</v>
      </c>
      <c r="FU130" t="s">
        <v>24</v>
      </c>
      <c r="FX130">
        <v>94.5</v>
      </c>
      <c r="FY130">
        <v>46.75</v>
      </c>
      <c r="GA130" t="s">
        <v>6</v>
      </c>
      <c r="GD130">
        <v>0</v>
      </c>
      <c r="GF130">
        <v>2062515713</v>
      </c>
      <c r="GG130">
        <v>1</v>
      </c>
      <c r="GH130">
        <v>1</v>
      </c>
      <c r="GI130">
        <v>4</v>
      </c>
      <c r="GJ130">
        <v>0</v>
      </c>
      <c r="GK130">
        <f>ROUND(R130*(R12)/100,2)</f>
        <v>0</v>
      </c>
      <c r="GL130">
        <f t="shared" si="144"/>
        <v>0</v>
      </c>
      <c r="GM130">
        <f t="shared" si="145"/>
        <v>1805.64</v>
      </c>
      <c r="GN130">
        <f t="shared" si="146"/>
        <v>1805.64</v>
      </c>
      <c r="GO130">
        <f t="shared" si="147"/>
        <v>0</v>
      </c>
      <c r="GP130">
        <f t="shared" si="148"/>
        <v>0</v>
      </c>
      <c r="GR130">
        <v>0</v>
      </c>
      <c r="GS130">
        <v>3</v>
      </c>
      <c r="GT130">
        <v>0</v>
      </c>
      <c r="GU130" t="s">
        <v>6</v>
      </c>
      <c r="GV130">
        <f t="shared" si="149"/>
        <v>0</v>
      </c>
      <c r="GW130">
        <v>1</v>
      </c>
      <c r="GX130">
        <f t="shared" si="150"/>
        <v>0</v>
      </c>
      <c r="HA130">
        <v>0</v>
      </c>
      <c r="HB130">
        <v>0</v>
      </c>
      <c r="HC130">
        <f t="shared" si="151"/>
        <v>0</v>
      </c>
      <c r="IK130">
        <v>0</v>
      </c>
    </row>
    <row r="131" spans="1:245" x14ac:dyDescent="0.2">
      <c r="A131">
        <v>18</v>
      </c>
      <c r="B131">
        <v>1</v>
      </c>
      <c r="C131">
        <v>195</v>
      </c>
      <c r="E131" t="s">
        <v>363</v>
      </c>
      <c r="F131" t="s">
        <v>364</v>
      </c>
      <c r="G131" t="s">
        <v>365</v>
      </c>
      <c r="H131" t="s">
        <v>104</v>
      </c>
      <c r="I131">
        <f>I130*J131</f>
        <v>2.7000000000000001E-3</v>
      </c>
      <c r="J131">
        <v>0.05</v>
      </c>
      <c r="O131">
        <f t="shared" si="117"/>
        <v>0</v>
      </c>
      <c r="P131">
        <f t="shared" si="118"/>
        <v>0</v>
      </c>
      <c r="Q131">
        <f t="shared" si="119"/>
        <v>0</v>
      </c>
      <c r="R131">
        <f t="shared" si="120"/>
        <v>0</v>
      </c>
      <c r="S131">
        <f t="shared" si="121"/>
        <v>0</v>
      </c>
      <c r="T131">
        <f t="shared" si="122"/>
        <v>0</v>
      </c>
      <c r="U131">
        <f t="shared" si="123"/>
        <v>0</v>
      </c>
      <c r="V131">
        <f t="shared" si="124"/>
        <v>0</v>
      </c>
      <c r="W131">
        <f t="shared" si="125"/>
        <v>0</v>
      </c>
      <c r="X131">
        <f t="shared" si="126"/>
        <v>0</v>
      </c>
      <c r="Y131">
        <f t="shared" si="127"/>
        <v>0</v>
      </c>
      <c r="AA131">
        <v>16808636</v>
      </c>
      <c r="AB131">
        <f t="shared" si="128"/>
        <v>0</v>
      </c>
      <c r="AC131">
        <f t="shared" si="129"/>
        <v>0</v>
      </c>
      <c r="AD131">
        <f>ROUND((((ET131)-(EU131))+AE131),2)</f>
        <v>0</v>
      </c>
      <c r="AE131">
        <f t="shared" ref="AE131:AF135" si="159">ROUND((EU131),2)</f>
        <v>0</v>
      </c>
      <c r="AF131">
        <f t="shared" si="159"/>
        <v>0</v>
      </c>
      <c r="AG131">
        <f t="shared" si="130"/>
        <v>0</v>
      </c>
      <c r="AH131">
        <f t="shared" ref="AH131:AI135" si="160">(EW131)</f>
        <v>0</v>
      </c>
      <c r="AI131">
        <f t="shared" si="160"/>
        <v>0</v>
      </c>
      <c r="AJ131">
        <f t="shared" si="131"/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95</v>
      </c>
      <c r="AU131">
        <v>47</v>
      </c>
      <c r="AV131">
        <v>1</v>
      </c>
      <c r="AW131">
        <v>1</v>
      </c>
      <c r="AZ131">
        <v>6.71</v>
      </c>
      <c r="BA131">
        <v>1</v>
      </c>
      <c r="BB131">
        <v>1</v>
      </c>
      <c r="BC131">
        <v>6.71</v>
      </c>
      <c r="BD131" t="s">
        <v>6</v>
      </c>
      <c r="BE131" t="s">
        <v>6</v>
      </c>
      <c r="BF131" t="s">
        <v>6</v>
      </c>
      <c r="BG131" t="s">
        <v>6</v>
      </c>
      <c r="BH131">
        <v>3</v>
      </c>
      <c r="BI131">
        <v>1</v>
      </c>
      <c r="BJ131" t="s">
        <v>6</v>
      </c>
      <c r="BM131">
        <v>15001</v>
      </c>
      <c r="BN131">
        <v>0</v>
      </c>
      <c r="BO131" t="s">
        <v>6</v>
      </c>
      <c r="BP131">
        <v>0</v>
      </c>
      <c r="BQ131">
        <v>2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6</v>
      </c>
      <c r="BZ131">
        <v>105</v>
      </c>
      <c r="CA131">
        <v>55</v>
      </c>
      <c r="CE131">
        <v>0</v>
      </c>
      <c r="CF131">
        <v>0</v>
      </c>
      <c r="CG131">
        <v>0</v>
      </c>
      <c r="CM131">
        <v>0</v>
      </c>
      <c r="CN131" t="s">
        <v>6</v>
      </c>
      <c r="CO131">
        <v>0</v>
      </c>
      <c r="CP131">
        <f t="shared" si="132"/>
        <v>0</v>
      </c>
      <c r="CQ131">
        <f t="shared" si="133"/>
        <v>0</v>
      </c>
      <c r="CR131">
        <f t="shared" si="134"/>
        <v>0</v>
      </c>
      <c r="CS131">
        <f t="shared" si="135"/>
        <v>0</v>
      </c>
      <c r="CT131">
        <f t="shared" si="136"/>
        <v>0</v>
      </c>
      <c r="CU131">
        <f t="shared" si="137"/>
        <v>0</v>
      </c>
      <c r="CV131">
        <f t="shared" si="138"/>
        <v>0</v>
      </c>
      <c r="CW131">
        <f t="shared" si="139"/>
        <v>0</v>
      </c>
      <c r="CX131">
        <f t="shared" si="140"/>
        <v>0</v>
      </c>
      <c r="CY131">
        <f t="shared" si="141"/>
        <v>0</v>
      </c>
      <c r="CZ131">
        <f t="shared" si="142"/>
        <v>0</v>
      </c>
      <c r="DC131" t="s">
        <v>6</v>
      </c>
      <c r="DD131" t="s">
        <v>6</v>
      </c>
      <c r="DE131" t="s">
        <v>6</v>
      </c>
      <c r="DF131" t="s">
        <v>6</v>
      </c>
      <c r="DG131" t="s">
        <v>6</v>
      </c>
      <c r="DH131" t="s">
        <v>6</v>
      </c>
      <c r="DI131" t="s">
        <v>6</v>
      </c>
      <c r="DJ131" t="s">
        <v>6</v>
      </c>
      <c r="DK131" t="s">
        <v>6</v>
      </c>
      <c r="DL131" t="s">
        <v>6</v>
      </c>
      <c r="DM131" t="s">
        <v>6</v>
      </c>
      <c r="DN131">
        <v>0</v>
      </c>
      <c r="DO131">
        <v>0</v>
      </c>
      <c r="DP131">
        <v>1</v>
      </c>
      <c r="DQ131">
        <v>1</v>
      </c>
      <c r="DU131">
        <v>1009</v>
      </c>
      <c r="DV131" t="s">
        <v>104</v>
      </c>
      <c r="DW131" t="s">
        <v>104</v>
      </c>
      <c r="DX131">
        <v>1000</v>
      </c>
      <c r="EE131">
        <v>16510513</v>
      </c>
      <c r="EF131">
        <v>2</v>
      </c>
      <c r="EG131" t="s">
        <v>20</v>
      </c>
      <c r="EH131">
        <v>0</v>
      </c>
      <c r="EI131" t="s">
        <v>6</v>
      </c>
      <c r="EJ131">
        <v>1</v>
      </c>
      <c r="EK131">
        <v>15001</v>
      </c>
      <c r="EL131" t="s">
        <v>223</v>
      </c>
      <c r="EM131" t="s">
        <v>224</v>
      </c>
      <c r="EO131" t="s">
        <v>6</v>
      </c>
      <c r="EQ131">
        <v>0</v>
      </c>
      <c r="ER131">
        <v>0</v>
      </c>
      <c r="ES131">
        <v>0</v>
      </c>
      <c r="ET131">
        <v>0</v>
      </c>
      <c r="EU131">
        <v>0</v>
      </c>
      <c r="EV131">
        <v>0</v>
      </c>
      <c r="EW131">
        <v>0</v>
      </c>
      <c r="EX131">
        <v>0</v>
      </c>
      <c r="FQ131">
        <v>0</v>
      </c>
      <c r="FR131">
        <f t="shared" si="143"/>
        <v>0</v>
      </c>
      <c r="FS131">
        <v>0</v>
      </c>
      <c r="FT131" t="s">
        <v>23</v>
      </c>
      <c r="FU131" t="s">
        <v>24</v>
      </c>
      <c r="FX131">
        <v>94.5</v>
      </c>
      <c r="FY131">
        <v>46.75</v>
      </c>
      <c r="GA131" t="s">
        <v>6</v>
      </c>
      <c r="GD131">
        <v>0</v>
      </c>
      <c r="GF131">
        <v>1531120620</v>
      </c>
      <c r="GG131">
        <v>1</v>
      </c>
      <c r="GH131">
        <v>1</v>
      </c>
      <c r="GI131">
        <v>4</v>
      </c>
      <c r="GJ131">
        <v>0</v>
      </c>
      <c r="GK131">
        <f>ROUND(R131*(R12)/100,2)</f>
        <v>0</v>
      </c>
      <c r="GL131">
        <f t="shared" si="144"/>
        <v>0</v>
      </c>
      <c r="GM131">
        <f t="shared" si="145"/>
        <v>0</v>
      </c>
      <c r="GN131">
        <f t="shared" si="146"/>
        <v>0</v>
      </c>
      <c r="GO131">
        <f t="shared" si="147"/>
        <v>0</v>
      </c>
      <c r="GP131">
        <f t="shared" si="148"/>
        <v>0</v>
      </c>
      <c r="GR131">
        <v>0</v>
      </c>
      <c r="GS131">
        <v>3</v>
      </c>
      <c r="GT131">
        <v>0</v>
      </c>
      <c r="GU131" t="s">
        <v>6</v>
      </c>
      <c r="GV131">
        <f t="shared" si="149"/>
        <v>0</v>
      </c>
      <c r="GW131">
        <v>1</v>
      </c>
      <c r="GX131">
        <f t="shared" si="150"/>
        <v>0</v>
      </c>
      <c r="HA131">
        <v>0</v>
      </c>
      <c r="HB131">
        <v>0</v>
      </c>
      <c r="HC131">
        <f t="shared" si="151"/>
        <v>0</v>
      </c>
      <c r="IK131">
        <v>0</v>
      </c>
    </row>
    <row r="132" spans="1:245" x14ac:dyDescent="0.2">
      <c r="A132">
        <v>18</v>
      </c>
      <c r="B132">
        <v>1</v>
      </c>
      <c r="C132">
        <v>197</v>
      </c>
      <c r="E132" t="s">
        <v>366</v>
      </c>
      <c r="F132" t="s">
        <v>367</v>
      </c>
      <c r="G132" t="s">
        <v>368</v>
      </c>
      <c r="H132" t="s">
        <v>190</v>
      </c>
      <c r="I132">
        <f>I130*J132</f>
        <v>5.4</v>
      </c>
      <c r="J132">
        <v>100.00000000000001</v>
      </c>
      <c r="O132">
        <f t="shared" si="117"/>
        <v>0</v>
      </c>
      <c r="P132">
        <f t="shared" si="118"/>
        <v>0</v>
      </c>
      <c r="Q132">
        <f t="shared" si="119"/>
        <v>0</v>
      </c>
      <c r="R132">
        <f t="shared" si="120"/>
        <v>0</v>
      </c>
      <c r="S132">
        <f t="shared" si="121"/>
        <v>0</v>
      </c>
      <c r="T132">
        <f t="shared" si="122"/>
        <v>0</v>
      </c>
      <c r="U132">
        <f t="shared" si="123"/>
        <v>0</v>
      </c>
      <c r="V132">
        <f t="shared" si="124"/>
        <v>0</v>
      </c>
      <c r="W132">
        <f t="shared" si="125"/>
        <v>0</v>
      </c>
      <c r="X132">
        <f t="shared" si="126"/>
        <v>0</v>
      </c>
      <c r="Y132">
        <f t="shared" si="127"/>
        <v>0</v>
      </c>
      <c r="AA132">
        <v>16808636</v>
      </c>
      <c r="AB132">
        <f t="shared" si="128"/>
        <v>0</v>
      </c>
      <c r="AC132">
        <f t="shared" si="129"/>
        <v>0</v>
      </c>
      <c r="AD132">
        <f>ROUND((((ET132)-(EU132))+AE132),2)</f>
        <v>0</v>
      </c>
      <c r="AE132">
        <f t="shared" si="159"/>
        <v>0</v>
      </c>
      <c r="AF132">
        <f t="shared" si="159"/>
        <v>0</v>
      </c>
      <c r="AG132">
        <f t="shared" si="130"/>
        <v>0</v>
      </c>
      <c r="AH132">
        <f t="shared" si="160"/>
        <v>0</v>
      </c>
      <c r="AI132">
        <f t="shared" si="160"/>
        <v>0</v>
      </c>
      <c r="AJ132">
        <f t="shared" si="131"/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95</v>
      </c>
      <c r="AU132">
        <v>47</v>
      </c>
      <c r="AV132">
        <v>1</v>
      </c>
      <c r="AW132">
        <v>1</v>
      </c>
      <c r="AZ132">
        <v>6.71</v>
      </c>
      <c r="BA132">
        <v>1</v>
      </c>
      <c r="BB132">
        <v>1</v>
      </c>
      <c r="BC132">
        <v>6.71</v>
      </c>
      <c r="BD132" t="s">
        <v>6</v>
      </c>
      <c r="BE132" t="s">
        <v>6</v>
      </c>
      <c r="BF132" t="s">
        <v>6</v>
      </c>
      <c r="BG132" t="s">
        <v>6</v>
      </c>
      <c r="BH132">
        <v>3</v>
      </c>
      <c r="BI132">
        <v>1</v>
      </c>
      <c r="BJ132" t="s">
        <v>6</v>
      </c>
      <c r="BM132">
        <v>15001</v>
      </c>
      <c r="BN132">
        <v>0</v>
      </c>
      <c r="BO132" t="s">
        <v>6</v>
      </c>
      <c r="BP132">
        <v>0</v>
      </c>
      <c r="BQ132">
        <v>2</v>
      </c>
      <c r="BR132">
        <v>0</v>
      </c>
      <c r="BS132">
        <v>1</v>
      </c>
      <c r="BT132">
        <v>1</v>
      </c>
      <c r="BU132">
        <v>1</v>
      </c>
      <c r="BV132">
        <v>1</v>
      </c>
      <c r="BW132">
        <v>1</v>
      </c>
      <c r="BX132">
        <v>1</v>
      </c>
      <c r="BY132" t="s">
        <v>6</v>
      </c>
      <c r="BZ132">
        <v>105</v>
      </c>
      <c r="CA132">
        <v>55</v>
      </c>
      <c r="CE132">
        <v>0</v>
      </c>
      <c r="CF132">
        <v>0</v>
      </c>
      <c r="CG132">
        <v>0</v>
      </c>
      <c r="CM132">
        <v>0</v>
      </c>
      <c r="CN132" t="s">
        <v>6</v>
      </c>
      <c r="CO132">
        <v>0</v>
      </c>
      <c r="CP132">
        <f t="shared" si="132"/>
        <v>0</v>
      </c>
      <c r="CQ132">
        <f t="shared" si="133"/>
        <v>0</v>
      </c>
      <c r="CR132">
        <f t="shared" si="134"/>
        <v>0</v>
      </c>
      <c r="CS132">
        <f t="shared" si="135"/>
        <v>0</v>
      </c>
      <c r="CT132">
        <f t="shared" si="136"/>
        <v>0</v>
      </c>
      <c r="CU132">
        <f t="shared" si="137"/>
        <v>0</v>
      </c>
      <c r="CV132">
        <f t="shared" si="138"/>
        <v>0</v>
      </c>
      <c r="CW132">
        <f t="shared" si="139"/>
        <v>0</v>
      </c>
      <c r="CX132">
        <f t="shared" si="140"/>
        <v>0</v>
      </c>
      <c r="CY132">
        <f t="shared" si="141"/>
        <v>0</v>
      </c>
      <c r="CZ132">
        <f t="shared" si="142"/>
        <v>0</v>
      </c>
      <c r="DC132" t="s">
        <v>6</v>
      </c>
      <c r="DD132" t="s">
        <v>6</v>
      </c>
      <c r="DE132" t="s">
        <v>6</v>
      </c>
      <c r="DF132" t="s">
        <v>6</v>
      </c>
      <c r="DG132" t="s">
        <v>6</v>
      </c>
      <c r="DH132" t="s">
        <v>6</v>
      </c>
      <c r="DI132" t="s">
        <v>6</v>
      </c>
      <c r="DJ132" t="s">
        <v>6</v>
      </c>
      <c r="DK132" t="s">
        <v>6</v>
      </c>
      <c r="DL132" t="s">
        <v>6</v>
      </c>
      <c r="DM132" t="s">
        <v>6</v>
      </c>
      <c r="DN132">
        <v>0</v>
      </c>
      <c r="DO132">
        <v>0</v>
      </c>
      <c r="DP132">
        <v>1</v>
      </c>
      <c r="DQ132">
        <v>1</v>
      </c>
      <c r="DU132">
        <v>1005</v>
      </c>
      <c r="DV132" t="s">
        <v>190</v>
      </c>
      <c r="DW132" t="s">
        <v>190</v>
      </c>
      <c r="DX132">
        <v>1</v>
      </c>
      <c r="EE132">
        <v>16510513</v>
      </c>
      <c r="EF132">
        <v>2</v>
      </c>
      <c r="EG132" t="s">
        <v>20</v>
      </c>
      <c r="EH132">
        <v>0</v>
      </c>
      <c r="EI132" t="s">
        <v>6</v>
      </c>
      <c r="EJ132">
        <v>1</v>
      </c>
      <c r="EK132">
        <v>15001</v>
      </c>
      <c r="EL132" t="s">
        <v>223</v>
      </c>
      <c r="EM132" t="s">
        <v>224</v>
      </c>
      <c r="EO132" t="s">
        <v>6</v>
      </c>
      <c r="EQ132">
        <v>0</v>
      </c>
      <c r="ER132">
        <v>0</v>
      </c>
      <c r="ES132">
        <v>0</v>
      </c>
      <c r="ET132">
        <v>0</v>
      </c>
      <c r="EU132">
        <v>0</v>
      </c>
      <c r="EV132">
        <v>0</v>
      </c>
      <c r="EW132">
        <v>0</v>
      </c>
      <c r="EX132">
        <v>0</v>
      </c>
      <c r="FQ132">
        <v>0</v>
      </c>
      <c r="FR132">
        <f t="shared" si="143"/>
        <v>0</v>
      </c>
      <c r="FS132">
        <v>0</v>
      </c>
      <c r="FT132" t="s">
        <v>23</v>
      </c>
      <c r="FU132" t="s">
        <v>24</v>
      </c>
      <c r="FX132">
        <v>94.5</v>
      </c>
      <c r="FY132">
        <v>46.75</v>
      </c>
      <c r="GA132" t="s">
        <v>6</v>
      </c>
      <c r="GD132">
        <v>0</v>
      </c>
      <c r="GF132">
        <v>1109111119</v>
      </c>
      <c r="GG132">
        <v>1</v>
      </c>
      <c r="GH132">
        <v>1</v>
      </c>
      <c r="GI132">
        <v>4</v>
      </c>
      <c r="GJ132">
        <v>0</v>
      </c>
      <c r="GK132">
        <f>ROUND(R132*(R12)/100,2)</f>
        <v>0</v>
      </c>
      <c r="GL132">
        <f t="shared" si="144"/>
        <v>0</v>
      </c>
      <c r="GM132">
        <f t="shared" si="145"/>
        <v>0</v>
      </c>
      <c r="GN132">
        <f t="shared" si="146"/>
        <v>0</v>
      </c>
      <c r="GO132">
        <f t="shared" si="147"/>
        <v>0</v>
      </c>
      <c r="GP132">
        <f t="shared" si="148"/>
        <v>0</v>
      </c>
      <c r="GR132">
        <v>0</v>
      </c>
      <c r="GS132">
        <v>3</v>
      </c>
      <c r="GT132">
        <v>0</v>
      </c>
      <c r="GU132" t="s">
        <v>6</v>
      </c>
      <c r="GV132">
        <f t="shared" si="149"/>
        <v>0</v>
      </c>
      <c r="GW132">
        <v>1</v>
      </c>
      <c r="GX132">
        <f t="shared" si="150"/>
        <v>0</v>
      </c>
      <c r="HA132">
        <v>0</v>
      </c>
      <c r="HB132">
        <v>0</v>
      </c>
      <c r="HC132">
        <f t="shared" si="151"/>
        <v>0</v>
      </c>
      <c r="IK132">
        <v>0</v>
      </c>
    </row>
    <row r="133" spans="1:245" x14ac:dyDescent="0.2">
      <c r="A133">
        <v>18</v>
      </c>
      <c r="B133">
        <v>1</v>
      </c>
      <c r="C133">
        <v>196</v>
      </c>
      <c r="E133" t="s">
        <v>369</v>
      </c>
      <c r="F133" t="s">
        <v>370</v>
      </c>
      <c r="G133" t="s">
        <v>371</v>
      </c>
      <c r="H133" t="s">
        <v>190</v>
      </c>
      <c r="I133">
        <f>I130*J133</f>
        <v>5.4</v>
      </c>
      <c r="J133">
        <v>100.00000000000001</v>
      </c>
      <c r="O133">
        <f t="shared" si="117"/>
        <v>4950.29</v>
      </c>
      <c r="P133">
        <f t="shared" si="118"/>
        <v>4950.29</v>
      </c>
      <c r="Q133">
        <f t="shared" si="119"/>
        <v>0</v>
      </c>
      <c r="R133">
        <f t="shared" si="120"/>
        <v>0</v>
      </c>
      <c r="S133">
        <f t="shared" si="121"/>
        <v>0</v>
      </c>
      <c r="T133">
        <f t="shared" si="122"/>
        <v>0</v>
      </c>
      <c r="U133">
        <f t="shared" si="123"/>
        <v>0</v>
      </c>
      <c r="V133">
        <f t="shared" si="124"/>
        <v>0</v>
      </c>
      <c r="W133">
        <f t="shared" si="125"/>
        <v>0</v>
      </c>
      <c r="X133">
        <f t="shared" si="126"/>
        <v>0</v>
      </c>
      <c r="Y133">
        <f t="shared" si="127"/>
        <v>0</v>
      </c>
      <c r="AA133">
        <v>16808636</v>
      </c>
      <c r="AB133">
        <f t="shared" si="128"/>
        <v>136.62</v>
      </c>
      <c r="AC133">
        <f t="shared" si="129"/>
        <v>136.62</v>
      </c>
      <c r="AD133">
        <f>ROUND((((ET133)-(EU133))+AE133),2)</f>
        <v>0</v>
      </c>
      <c r="AE133">
        <f t="shared" si="159"/>
        <v>0</v>
      </c>
      <c r="AF133">
        <f t="shared" si="159"/>
        <v>0</v>
      </c>
      <c r="AG133">
        <f t="shared" si="130"/>
        <v>0</v>
      </c>
      <c r="AH133">
        <f t="shared" si="160"/>
        <v>0</v>
      </c>
      <c r="AI133">
        <f t="shared" si="160"/>
        <v>0</v>
      </c>
      <c r="AJ133">
        <f t="shared" si="131"/>
        <v>0</v>
      </c>
      <c r="AK133">
        <v>136.62</v>
      </c>
      <c r="AL133">
        <v>136.62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95</v>
      </c>
      <c r="AU133">
        <v>47</v>
      </c>
      <c r="AV133">
        <v>1</v>
      </c>
      <c r="AW133">
        <v>1</v>
      </c>
      <c r="AZ133">
        <v>6.71</v>
      </c>
      <c r="BA133">
        <v>1</v>
      </c>
      <c r="BB133">
        <v>1</v>
      </c>
      <c r="BC133">
        <v>6.71</v>
      </c>
      <c r="BD133" t="s">
        <v>6</v>
      </c>
      <c r="BE133" t="s">
        <v>6</v>
      </c>
      <c r="BF133" t="s">
        <v>6</v>
      </c>
      <c r="BG133" t="s">
        <v>6</v>
      </c>
      <c r="BH133">
        <v>3</v>
      </c>
      <c r="BI133">
        <v>1</v>
      </c>
      <c r="BJ133" t="s">
        <v>372</v>
      </c>
      <c r="BM133">
        <v>15001</v>
      </c>
      <c r="BN133">
        <v>0</v>
      </c>
      <c r="BO133" t="s">
        <v>6</v>
      </c>
      <c r="BP133">
        <v>0</v>
      </c>
      <c r="BQ133">
        <v>2</v>
      </c>
      <c r="BR133">
        <v>0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6</v>
      </c>
      <c r="BZ133">
        <v>105</v>
      </c>
      <c r="CA133">
        <v>55</v>
      </c>
      <c r="CE133">
        <v>0</v>
      </c>
      <c r="CF133">
        <v>0</v>
      </c>
      <c r="CG133">
        <v>0</v>
      </c>
      <c r="CM133">
        <v>0</v>
      </c>
      <c r="CN133" t="s">
        <v>6</v>
      </c>
      <c r="CO133">
        <v>0</v>
      </c>
      <c r="CP133">
        <f t="shared" si="132"/>
        <v>4950.29</v>
      </c>
      <c r="CQ133">
        <f t="shared" si="133"/>
        <v>916.72019999999998</v>
      </c>
      <c r="CR133">
        <f t="shared" si="134"/>
        <v>0</v>
      </c>
      <c r="CS133">
        <f t="shared" si="135"/>
        <v>0</v>
      </c>
      <c r="CT133">
        <f t="shared" si="136"/>
        <v>0</v>
      </c>
      <c r="CU133">
        <f t="shared" si="137"/>
        <v>0</v>
      </c>
      <c r="CV133">
        <f t="shared" si="138"/>
        <v>0</v>
      </c>
      <c r="CW133">
        <f t="shared" si="139"/>
        <v>0</v>
      </c>
      <c r="CX133">
        <f t="shared" si="140"/>
        <v>0</v>
      </c>
      <c r="CY133">
        <f t="shared" si="141"/>
        <v>0</v>
      </c>
      <c r="CZ133">
        <f t="shared" si="142"/>
        <v>0</v>
      </c>
      <c r="DC133" t="s">
        <v>6</v>
      </c>
      <c r="DD133" t="s">
        <v>6</v>
      </c>
      <c r="DE133" t="s">
        <v>6</v>
      </c>
      <c r="DF133" t="s">
        <v>6</v>
      </c>
      <c r="DG133" t="s">
        <v>6</v>
      </c>
      <c r="DH133" t="s">
        <v>6</v>
      </c>
      <c r="DI133" t="s">
        <v>6</v>
      </c>
      <c r="DJ133" t="s">
        <v>6</v>
      </c>
      <c r="DK133" t="s">
        <v>6</v>
      </c>
      <c r="DL133" t="s">
        <v>6</v>
      </c>
      <c r="DM133" t="s">
        <v>6</v>
      </c>
      <c r="DN133">
        <v>0</v>
      </c>
      <c r="DO133">
        <v>0</v>
      </c>
      <c r="DP133">
        <v>1</v>
      </c>
      <c r="DQ133">
        <v>1</v>
      </c>
      <c r="DU133">
        <v>1005</v>
      </c>
      <c r="DV133" t="s">
        <v>190</v>
      </c>
      <c r="DW133" t="s">
        <v>190</v>
      </c>
      <c r="DX133">
        <v>1</v>
      </c>
      <c r="EE133">
        <v>16510513</v>
      </c>
      <c r="EF133">
        <v>2</v>
      </c>
      <c r="EG133" t="s">
        <v>20</v>
      </c>
      <c r="EH133">
        <v>0</v>
      </c>
      <c r="EI133" t="s">
        <v>6</v>
      </c>
      <c r="EJ133">
        <v>1</v>
      </c>
      <c r="EK133">
        <v>15001</v>
      </c>
      <c r="EL133" t="s">
        <v>223</v>
      </c>
      <c r="EM133" t="s">
        <v>224</v>
      </c>
      <c r="EO133" t="s">
        <v>6</v>
      </c>
      <c r="EQ133">
        <v>0</v>
      </c>
      <c r="ER133">
        <v>136.62</v>
      </c>
      <c r="ES133">
        <v>136.62</v>
      </c>
      <c r="ET133">
        <v>0</v>
      </c>
      <c r="EU133">
        <v>0</v>
      </c>
      <c r="EV133">
        <v>0</v>
      </c>
      <c r="EW133">
        <v>0</v>
      </c>
      <c r="EX133">
        <v>0</v>
      </c>
      <c r="FQ133">
        <v>0</v>
      </c>
      <c r="FR133">
        <f t="shared" si="143"/>
        <v>0</v>
      </c>
      <c r="FS133">
        <v>0</v>
      </c>
      <c r="FT133" t="s">
        <v>23</v>
      </c>
      <c r="FU133" t="s">
        <v>24</v>
      </c>
      <c r="FX133">
        <v>94.5</v>
      </c>
      <c r="FY133">
        <v>46.75</v>
      </c>
      <c r="GA133" t="s">
        <v>6</v>
      </c>
      <c r="GD133">
        <v>0</v>
      </c>
      <c r="GF133">
        <v>-221992413</v>
      </c>
      <c r="GG133">
        <v>1</v>
      </c>
      <c r="GH133">
        <v>1</v>
      </c>
      <c r="GI133">
        <v>4</v>
      </c>
      <c r="GJ133">
        <v>0</v>
      </c>
      <c r="GK133">
        <f>ROUND(R133*(R12)/100,2)</f>
        <v>0</v>
      </c>
      <c r="GL133">
        <f t="shared" si="144"/>
        <v>0</v>
      </c>
      <c r="GM133">
        <f t="shared" si="145"/>
        <v>4950.29</v>
      </c>
      <c r="GN133">
        <f t="shared" si="146"/>
        <v>4950.29</v>
      </c>
      <c r="GO133">
        <f t="shared" si="147"/>
        <v>0</v>
      </c>
      <c r="GP133">
        <f t="shared" si="148"/>
        <v>0</v>
      </c>
      <c r="GR133">
        <v>0</v>
      </c>
      <c r="GS133">
        <v>3</v>
      </c>
      <c r="GT133">
        <v>0</v>
      </c>
      <c r="GU133" t="s">
        <v>6</v>
      </c>
      <c r="GV133">
        <f t="shared" si="149"/>
        <v>0</v>
      </c>
      <c r="GW133">
        <v>1</v>
      </c>
      <c r="GX133">
        <f t="shared" si="150"/>
        <v>0</v>
      </c>
      <c r="HA133">
        <v>0</v>
      </c>
      <c r="HB133">
        <v>0</v>
      </c>
      <c r="HC133">
        <f t="shared" si="151"/>
        <v>0</v>
      </c>
      <c r="IK133">
        <v>0</v>
      </c>
    </row>
    <row r="134" spans="1:245" x14ac:dyDescent="0.2">
      <c r="A134">
        <v>18</v>
      </c>
      <c r="B134">
        <v>1</v>
      </c>
      <c r="C134">
        <v>198</v>
      </c>
      <c r="E134" t="s">
        <v>373</v>
      </c>
      <c r="F134" t="s">
        <v>374</v>
      </c>
      <c r="G134" t="s">
        <v>375</v>
      </c>
      <c r="H134" t="s">
        <v>104</v>
      </c>
      <c r="I134">
        <f>I130*J134</f>
        <v>2.0250000000000001E-2</v>
      </c>
      <c r="J134">
        <v>0.375</v>
      </c>
      <c r="O134">
        <f t="shared" si="117"/>
        <v>0</v>
      </c>
      <c r="P134">
        <f t="shared" si="118"/>
        <v>0</v>
      </c>
      <c r="Q134">
        <f t="shared" si="119"/>
        <v>0</v>
      </c>
      <c r="R134">
        <f t="shared" si="120"/>
        <v>0</v>
      </c>
      <c r="S134">
        <f t="shared" si="121"/>
        <v>0</v>
      </c>
      <c r="T134">
        <f t="shared" si="122"/>
        <v>0</v>
      </c>
      <c r="U134">
        <f t="shared" si="123"/>
        <v>0</v>
      </c>
      <c r="V134">
        <f t="shared" si="124"/>
        <v>0</v>
      </c>
      <c r="W134">
        <f t="shared" si="125"/>
        <v>0</v>
      </c>
      <c r="X134">
        <f t="shared" si="126"/>
        <v>0</v>
      </c>
      <c r="Y134">
        <f t="shared" si="127"/>
        <v>0</v>
      </c>
      <c r="AA134">
        <v>16808636</v>
      </c>
      <c r="AB134">
        <f t="shared" si="128"/>
        <v>0</v>
      </c>
      <c r="AC134">
        <f t="shared" si="129"/>
        <v>0</v>
      </c>
      <c r="AD134">
        <f>ROUND((((ET134)-(EU134))+AE134),2)</f>
        <v>0</v>
      </c>
      <c r="AE134">
        <f t="shared" si="159"/>
        <v>0</v>
      </c>
      <c r="AF134">
        <f t="shared" si="159"/>
        <v>0</v>
      </c>
      <c r="AG134">
        <f t="shared" si="130"/>
        <v>0</v>
      </c>
      <c r="AH134">
        <f t="shared" si="160"/>
        <v>0</v>
      </c>
      <c r="AI134">
        <f t="shared" si="160"/>
        <v>0</v>
      </c>
      <c r="AJ134">
        <f t="shared" si="131"/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95</v>
      </c>
      <c r="AU134">
        <v>47</v>
      </c>
      <c r="AV134">
        <v>1</v>
      </c>
      <c r="AW134">
        <v>1</v>
      </c>
      <c r="AZ134">
        <v>6.71</v>
      </c>
      <c r="BA134">
        <v>1</v>
      </c>
      <c r="BB134">
        <v>1</v>
      </c>
      <c r="BC134">
        <v>6.71</v>
      </c>
      <c r="BD134" t="s">
        <v>6</v>
      </c>
      <c r="BE134" t="s">
        <v>6</v>
      </c>
      <c r="BF134" t="s">
        <v>6</v>
      </c>
      <c r="BG134" t="s">
        <v>6</v>
      </c>
      <c r="BH134">
        <v>3</v>
      </c>
      <c r="BI134">
        <v>1</v>
      </c>
      <c r="BJ134" t="s">
        <v>6</v>
      </c>
      <c r="BM134">
        <v>15001</v>
      </c>
      <c r="BN134">
        <v>0</v>
      </c>
      <c r="BO134" t="s">
        <v>6</v>
      </c>
      <c r="BP134">
        <v>0</v>
      </c>
      <c r="BQ134">
        <v>2</v>
      </c>
      <c r="BR134">
        <v>0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 t="s">
        <v>6</v>
      </c>
      <c r="BZ134">
        <v>105</v>
      </c>
      <c r="CA134">
        <v>55</v>
      </c>
      <c r="CE134">
        <v>0</v>
      </c>
      <c r="CF134">
        <v>0</v>
      </c>
      <c r="CG134">
        <v>0</v>
      </c>
      <c r="CM134">
        <v>0</v>
      </c>
      <c r="CN134" t="s">
        <v>6</v>
      </c>
      <c r="CO134">
        <v>0</v>
      </c>
      <c r="CP134">
        <f t="shared" si="132"/>
        <v>0</v>
      </c>
      <c r="CQ134">
        <f t="shared" si="133"/>
        <v>0</v>
      </c>
      <c r="CR134">
        <f t="shared" si="134"/>
        <v>0</v>
      </c>
      <c r="CS134">
        <f t="shared" si="135"/>
        <v>0</v>
      </c>
      <c r="CT134">
        <f t="shared" si="136"/>
        <v>0</v>
      </c>
      <c r="CU134">
        <f t="shared" si="137"/>
        <v>0</v>
      </c>
      <c r="CV134">
        <f t="shared" si="138"/>
        <v>0</v>
      </c>
      <c r="CW134">
        <f t="shared" si="139"/>
        <v>0</v>
      </c>
      <c r="CX134">
        <f t="shared" si="140"/>
        <v>0</v>
      </c>
      <c r="CY134">
        <f t="shared" si="141"/>
        <v>0</v>
      </c>
      <c r="CZ134">
        <f t="shared" si="142"/>
        <v>0</v>
      </c>
      <c r="DC134" t="s">
        <v>6</v>
      </c>
      <c r="DD134" t="s">
        <v>6</v>
      </c>
      <c r="DE134" t="s">
        <v>6</v>
      </c>
      <c r="DF134" t="s">
        <v>6</v>
      </c>
      <c r="DG134" t="s">
        <v>6</v>
      </c>
      <c r="DH134" t="s">
        <v>6</v>
      </c>
      <c r="DI134" t="s">
        <v>6</v>
      </c>
      <c r="DJ134" t="s">
        <v>6</v>
      </c>
      <c r="DK134" t="s">
        <v>6</v>
      </c>
      <c r="DL134" t="s">
        <v>6</v>
      </c>
      <c r="DM134" t="s">
        <v>6</v>
      </c>
      <c r="DN134">
        <v>0</v>
      </c>
      <c r="DO134">
        <v>0</v>
      </c>
      <c r="DP134">
        <v>1</v>
      </c>
      <c r="DQ134">
        <v>1</v>
      </c>
      <c r="DU134">
        <v>1009</v>
      </c>
      <c r="DV134" t="s">
        <v>104</v>
      </c>
      <c r="DW134" t="s">
        <v>104</v>
      </c>
      <c r="DX134">
        <v>1000</v>
      </c>
      <c r="EE134">
        <v>16510513</v>
      </c>
      <c r="EF134">
        <v>2</v>
      </c>
      <c r="EG134" t="s">
        <v>20</v>
      </c>
      <c r="EH134">
        <v>0</v>
      </c>
      <c r="EI134" t="s">
        <v>6</v>
      </c>
      <c r="EJ134">
        <v>1</v>
      </c>
      <c r="EK134">
        <v>15001</v>
      </c>
      <c r="EL134" t="s">
        <v>223</v>
      </c>
      <c r="EM134" t="s">
        <v>224</v>
      </c>
      <c r="EO134" t="s">
        <v>6</v>
      </c>
      <c r="EQ134">
        <v>0</v>
      </c>
      <c r="ER134">
        <v>0</v>
      </c>
      <c r="ES134">
        <v>0</v>
      </c>
      <c r="ET134">
        <v>0</v>
      </c>
      <c r="EU134">
        <v>0</v>
      </c>
      <c r="EV134">
        <v>0</v>
      </c>
      <c r="EW134">
        <v>0</v>
      </c>
      <c r="EX134">
        <v>0</v>
      </c>
      <c r="FQ134">
        <v>0</v>
      </c>
      <c r="FR134">
        <f t="shared" si="143"/>
        <v>0</v>
      </c>
      <c r="FS134">
        <v>0</v>
      </c>
      <c r="FT134" t="s">
        <v>23</v>
      </c>
      <c r="FU134" t="s">
        <v>24</v>
      </c>
      <c r="FX134">
        <v>94.5</v>
      </c>
      <c r="FY134">
        <v>46.75</v>
      </c>
      <c r="GA134" t="s">
        <v>6</v>
      </c>
      <c r="GD134">
        <v>0</v>
      </c>
      <c r="GF134">
        <v>-1969728098</v>
      </c>
      <c r="GG134">
        <v>1</v>
      </c>
      <c r="GH134">
        <v>1</v>
      </c>
      <c r="GI134">
        <v>4</v>
      </c>
      <c r="GJ134">
        <v>0</v>
      </c>
      <c r="GK134">
        <f>ROUND(R134*(R12)/100,2)</f>
        <v>0</v>
      </c>
      <c r="GL134">
        <f t="shared" si="144"/>
        <v>0</v>
      </c>
      <c r="GM134">
        <f t="shared" si="145"/>
        <v>0</v>
      </c>
      <c r="GN134">
        <f t="shared" si="146"/>
        <v>0</v>
      </c>
      <c r="GO134">
        <f t="shared" si="147"/>
        <v>0</v>
      </c>
      <c r="GP134">
        <f t="shared" si="148"/>
        <v>0</v>
      </c>
      <c r="GR134">
        <v>0</v>
      </c>
      <c r="GS134">
        <v>3</v>
      </c>
      <c r="GT134">
        <v>0</v>
      </c>
      <c r="GU134" t="s">
        <v>6</v>
      </c>
      <c r="GV134">
        <f t="shared" si="149"/>
        <v>0</v>
      </c>
      <c r="GW134">
        <v>1</v>
      </c>
      <c r="GX134">
        <f t="shared" si="150"/>
        <v>0</v>
      </c>
      <c r="HA134">
        <v>0</v>
      </c>
      <c r="HB134">
        <v>0</v>
      </c>
      <c r="HC134">
        <f t="shared" si="151"/>
        <v>0</v>
      </c>
      <c r="IK134">
        <v>0</v>
      </c>
    </row>
    <row r="135" spans="1:245" x14ac:dyDescent="0.2">
      <c r="A135">
        <v>18</v>
      </c>
      <c r="B135">
        <v>1</v>
      </c>
      <c r="C135">
        <v>199</v>
      </c>
      <c r="E135" t="s">
        <v>376</v>
      </c>
      <c r="F135" t="s">
        <v>294</v>
      </c>
      <c r="G135" t="s">
        <v>295</v>
      </c>
      <c r="H135" t="s">
        <v>104</v>
      </c>
      <c r="I135">
        <f>I130*J135</f>
        <v>2.0250000000000001E-2</v>
      </c>
      <c r="J135">
        <v>0.375</v>
      </c>
      <c r="O135">
        <f t="shared" si="117"/>
        <v>997.42</v>
      </c>
      <c r="P135">
        <f t="shared" si="118"/>
        <v>997.42</v>
      </c>
      <c r="Q135">
        <f t="shared" si="119"/>
        <v>0</v>
      </c>
      <c r="R135">
        <f t="shared" si="120"/>
        <v>0</v>
      </c>
      <c r="S135">
        <f t="shared" si="121"/>
        <v>0</v>
      </c>
      <c r="T135">
        <f t="shared" si="122"/>
        <v>0</v>
      </c>
      <c r="U135">
        <f t="shared" si="123"/>
        <v>0</v>
      </c>
      <c r="V135">
        <f t="shared" si="124"/>
        <v>0</v>
      </c>
      <c r="W135">
        <f t="shared" si="125"/>
        <v>0</v>
      </c>
      <c r="X135">
        <f t="shared" si="126"/>
        <v>0</v>
      </c>
      <c r="Y135">
        <f t="shared" si="127"/>
        <v>0</v>
      </c>
      <c r="AA135">
        <v>16808636</v>
      </c>
      <c r="AB135">
        <f t="shared" si="128"/>
        <v>7340.57</v>
      </c>
      <c r="AC135">
        <f t="shared" si="129"/>
        <v>7340.57</v>
      </c>
      <c r="AD135">
        <f>ROUND((((ET135)-(EU135))+AE135),2)</f>
        <v>0</v>
      </c>
      <c r="AE135">
        <f t="shared" si="159"/>
        <v>0</v>
      </c>
      <c r="AF135">
        <f t="shared" si="159"/>
        <v>0</v>
      </c>
      <c r="AG135">
        <f t="shared" si="130"/>
        <v>0</v>
      </c>
      <c r="AH135">
        <f t="shared" si="160"/>
        <v>0</v>
      </c>
      <c r="AI135">
        <f t="shared" si="160"/>
        <v>0</v>
      </c>
      <c r="AJ135">
        <f t="shared" si="131"/>
        <v>0</v>
      </c>
      <c r="AK135">
        <v>7340.57</v>
      </c>
      <c r="AL135">
        <v>7340.57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95</v>
      </c>
      <c r="AU135">
        <v>47</v>
      </c>
      <c r="AV135">
        <v>1</v>
      </c>
      <c r="AW135">
        <v>1</v>
      </c>
      <c r="AZ135">
        <v>6.71</v>
      </c>
      <c r="BA135">
        <v>1</v>
      </c>
      <c r="BB135">
        <v>1</v>
      </c>
      <c r="BC135">
        <v>6.71</v>
      </c>
      <c r="BD135" t="s">
        <v>6</v>
      </c>
      <c r="BE135" t="s">
        <v>6</v>
      </c>
      <c r="BF135" t="s">
        <v>6</v>
      </c>
      <c r="BG135" t="s">
        <v>6</v>
      </c>
      <c r="BH135">
        <v>3</v>
      </c>
      <c r="BI135">
        <v>1</v>
      </c>
      <c r="BJ135" t="s">
        <v>296</v>
      </c>
      <c r="BM135">
        <v>15001</v>
      </c>
      <c r="BN135">
        <v>0</v>
      </c>
      <c r="BO135" t="s">
        <v>6</v>
      </c>
      <c r="BP135">
        <v>0</v>
      </c>
      <c r="BQ135">
        <v>2</v>
      </c>
      <c r="BR135">
        <v>0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6</v>
      </c>
      <c r="BZ135">
        <v>105</v>
      </c>
      <c r="CA135">
        <v>55</v>
      </c>
      <c r="CE135">
        <v>0</v>
      </c>
      <c r="CF135">
        <v>0</v>
      </c>
      <c r="CG135">
        <v>0</v>
      </c>
      <c r="CM135">
        <v>0</v>
      </c>
      <c r="CN135" t="s">
        <v>6</v>
      </c>
      <c r="CO135">
        <v>0</v>
      </c>
      <c r="CP135">
        <f t="shared" si="132"/>
        <v>997.42</v>
      </c>
      <c r="CQ135">
        <f t="shared" si="133"/>
        <v>49255.224699999999</v>
      </c>
      <c r="CR135">
        <f t="shared" si="134"/>
        <v>0</v>
      </c>
      <c r="CS135">
        <f t="shared" si="135"/>
        <v>0</v>
      </c>
      <c r="CT135">
        <f t="shared" si="136"/>
        <v>0</v>
      </c>
      <c r="CU135">
        <f t="shared" si="137"/>
        <v>0</v>
      </c>
      <c r="CV135">
        <f t="shared" si="138"/>
        <v>0</v>
      </c>
      <c r="CW135">
        <f t="shared" si="139"/>
        <v>0</v>
      </c>
      <c r="CX135">
        <f t="shared" si="140"/>
        <v>0</v>
      </c>
      <c r="CY135">
        <f t="shared" si="141"/>
        <v>0</v>
      </c>
      <c r="CZ135">
        <f t="shared" si="142"/>
        <v>0</v>
      </c>
      <c r="DC135" t="s">
        <v>6</v>
      </c>
      <c r="DD135" t="s">
        <v>6</v>
      </c>
      <c r="DE135" t="s">
        <v>6</v>
      </c>
      <c r="DF135" t="s">
        <v>6</v>
      </c>
      <c r="DG135" t="s">
        <v>6</v>
      </c>
      <c r="DH135" t="s">
        <v>6</v>
      </c>
      <c r="DI135" t="s">
        <v>6</v>
      </c>
      <c r="DJ135" t="s">
        <v>6</v>
      </c>
      <c r="DK135" t="s">
        <v>6</v>
      </c>
      <c r="DL135" t="s">
        <v>6</v>
      </c>
      <c r="DM135" t="s">
        <v>6</v>
      </c>
      <c r="DN135">
        <v>0</v>
      </c>
      <c r="DO135">
        <v>0</v>
      </c>
      <c r="DP135">
        <v>1</v>
      </c>
      <c r="DQ135">
        <v>1</v>
      </c>
      <c r="DU135">
        <v>1009</v>
      </c>
      <c r="DV135" t="s">
        <v>104</v>
      </c>
      <c r="DW135" t="s">
        <v>104</v>
      </c>
      <c r="DX135">
        <v>1000</v>
      </c>
      <c r="EE135">
        <v>16510513</v>
      </c>
      <c r="EF135">
        <v>2</v>
      </c>
      <c r="EG135" t="s">
        <v>20</v>
      </c>
      <c r="EH135">
        <v>0</v>
      </c>
      <c r="EI135" t="s">
        <v>6</v>
      </c>
      <c r="EJ135">
        <v>1</v>
      </c>
      <c r="EK135">
        <v>15001</v>
      </c>
      <c r="EL135" t="s">
        <v>223</v>
      </c>
      <c r="EM135" t="s">
        <v>224</v>
      </c>
      <c r="EO135" t="s">
        <v>6</v>
      </c>
      <c r="EQ135">
        <v>0</v>
      </c>
      <c r="ER135">
        <v>7340.57</v>
      </c>
      <c r="ES135">
        <v>7340.57</v>
      </c>
      <c r="ET135">
        <v>0</v>
      </c>
      <c r="EU135">
        <v>0</v>
      </c>
      <c r="EV135">
        <v>0</v>
      </c>
      <c r="EW135">
        <v>0</v>
      </c>
      <c r="EX135">
        <v>0</v>
      </c>
      <c r="FQ135">
        <v>0</v>
      </c>
      <c r="FR135">
        <f t="shared" si="143"/>
        <v>0</v>
      </c>
      <c r="FS135">
        <v>0</v>
      </c>
      <c r="FT135" t="s">
        <v>23</v>
      </c>
      <c r="FU135" t="s">
        <v>24</v>
      </c>
      <c r="FX135">
        <v>94.5</v>
      </c>
      <c r="FY135">
        <v>46.75</v>
      </c>
      <c r="GA135" t="s">
        <v>6</v>
      </c>
      <c r="GD135">
        <v>0</v>
      </c>
      <c r="GF135">
        <v>1446672103</v>
      </c>
      <c r="GG135">
        <v>1</v>
      </c>
      <c r="GH135">
        <v>1</v>
      </c>
      <c r="GI135">
        <v>4</v>
      </c>
      <c r="GJ135">
        <v>0</v>
      </c>
      <c r="GK135">
        <f>ROUND(R135*(R12)/100,2)</f>
        <v>0</v>
      </c>
      <c r="GL135">
        <f t="shared" si="144"/>
        <v>0</v>
      </c>
      <c r="GM135">
        <f t="shared" si="145"/>
        <v>997.42</v>
      </c>
      <c r="GN135">
        <f t="shared" si="146"/>
        <v>997.42</v>
      </c>
      <c r="GO135">
        <f t="shared" si="147"/>
        <v>0</v>
      </c>
      <c r="GP135">
        <f t="shared" si="148"/>
        <v>0</v>
      </c>
      <c r="GR135">
        <v>0</v>
      </c>
      <c r="GS135">
        <v>3</v>
      </c>
      <c r="GT135">
        <v>0</v>
      </c>
      <c r="GU135" t="s">
        <v>6</v>
      </c>
      <c r="GV135">
        <f t="shared" si="149"/>
        <v>0</v>
      </c>
      <c r="GW135">
        <v>1</v>
      </c>
      <c r="GX135">
        <f t="shared" si="150"/>
        <v>0</v>
      </c>
      <c r="HA135">
        <v>0</v>
      </c>
      <c r="HB135">
        <v>0</v>
      </c>
      <c r="HC135">
        <f t="shared" si="151"/>
        <v>0</v>
      </c>
      <c r="IK135">
        <v>0</v>
      </c>
    </row>
    <row r="136" spans="1:245" x14ac:dyDescent="0.2">
      <c r="A136">
        <v>17</v>
      </c>
      <c r="B136">
        <v>1</v>
      </c>
      <c r="C136">
        <f>ROW(SmtRes!A218)</f>
        <v>218</v>
      </c>
      <c r="D136">
        <f>ROW(EtalonRes!A202)</f>
        <v>202</v>
      </c>
      <c r="E136" t="s">
        <v>377</v>
      </c>
      <c r="F136" t="s">
        <v>378</v>
      </c>
      <c r="G136" t="s">
        <v>379</v>
      </c>
      <c r="H136" t="s">
        <v>18</v>
      </c>
      <c r="I136">
        <f>ROUND(6/100,9)</f>
        <v>0.06</v>
      </c>
      <c r="J136">
        <v>0</v>
      </c>
      <c r="O136">
        <f t="shared" si="117"/>
        <v>1190.3800000000001</v>
      </c>
      <c r="P136">
        <f t="shared" si="118"/>
        <v>523.17999999999995</v>
      </c>
      <c r="Q136">
        <f t="shared" si="119"/>
        <v>2.0299999999999998</v>
      </c>
      <c r="R136">
        <f t="shared" si="120"/>
        <v>0</v>
      </c>
      <c r="S136">
        <f t="shared" si="121"/>
        <v>665.17</v>
      </c>
      <c r="T136">
        <f t="shared" si="122"/>
        <v>0</v>
      </c>
      <c r="U136">
        <f t="shared" si="123"/>
        <v>10.929599999999997</v>
      </c>
      <c r="V136">
        <f t="shared" si="124"/>
        <v>0</v>
      </c>
      <c r="W136">
        <f t="shared" si="125"/>
        <v>0</v>
      </c>
      <c r="X136">
        <f t="shared" si="126"/>
        <v>705.08</v>
      </c>
      <c r="Y136">
        <f t="shared" si="127"/>
        <v>359.19</v>
      </c>
      <c r="AA136">
        <v>16808636</v>
      </c>
      <c r="AB136">
        <f t="shared" si="128"/>
        <v>2956.73</v>
      </c>
      <c r="AC136">
        <f t="shared" si="129"/>
        <v>1299.5</v>
      </c>
      <c r="AD136">
        <f>ROUND((((((ET136*1.25)*1.2))-(((EU136*1.25)*1.2)))+AE136),2)</f>
        <v>5.04</v>
      </c>
      <c r="AE136">
        <f>ROUND((((EU136*1.25)*1.2)),2)</f>
        <v>0</v>
      </c>
      <c r="AF136">
        <f>ROUND((((EV136*1.15)*1.2)),2)</f>
        <v>1652.19</v>
      </c>
      <c r="AG136">
        <f t="shared" si="130"/>
        <v>0</v>
      </c>
      <c r="AH136">
        <f>(((EW136*1.15)*1.2))</f>
        <v>182.15999999999997</v>
      </c>
      <c r="AI136">
        <f>(((EX136*1.25)*1.2))</f>
        <v>0</v>
      </c>
      <c r="AJ136">
        <f t="shared" si="131"/>
        <v>0</v>
      </c>
      <c r="AK136">
        <v>2500.1</v>
      </c>
      <c r="AL136">
        <v>1299.5</v>
      </c>
      <c r="AM136">
        <v>3.36</v>
      </c>
      <c r="AN136">
        <v>0</v>
      </c>
      <c r="AO136">
        <v>1197.24</v>
      </c>
      <c r="AP136">
        <v>0</v>
      </c>
      <c r="AQ136">
        <v>132</v>
      </c>
      <c r="AR136">
        <v>0</v>
      </c>
      <c r="AS136">
        <v>0</v>
      </c>
      <c r="AT136">
        <v>106</v>
      </c>
      <c r="AU136">
        <v>54</v>
      </c>
      <c r="AV136">
        <v>1</v>
      </c>
      <c r="AW136">
        <v>1</v>
      </c>
      <c r="AZ136">
        <v>6.71</v>
      </c>
      <c r="BA136">
        <v>6.71</v>
      </c>
      <c r="BB136">
        <v>6.71</v>
      </c>
      <c r="BC136">
        <v>6.71</v>
      </c>
      <c r="BD136" t="s">
        <v>6</v>
      </c>
      <c r="BE136" t="s">
        <v>6</v>
      </c>
      <c r="BF136" t="s">
        <v>6</v>
      </c>
      <c r="BG136" t="s">
        <v>6</v>
      </c>
      <c r="BH136">
        <v>0</v>
      </c>
      <c r="BI136">
        <v>1</v>
      </c>
      <c r="BJ136" t="s">
        <v>380</v>
      </c>
      <c r="BM136">
        <v>10001</v>
      </c>
      <c r="BN136">
        <v>0</v>
      </c>
      <c r="BO136" t="s">
        <v>6</v>
      </c>
      <c r="BP136">
        <v>0</v>
      </c>
      <c r="BQ136">
        <v>2</v>
      </c>
      <c r="BR136">
        <v>0</v>
      </c>
      <c r="BS136">
        <v>6.71</v>
      </c>
      <c r="BT136">
        <v>1</v>
      </c>
      <c r="BU136">
        <v>1</v>
      </c>
      <c r="BV136">
        <v>1</v>
      </c>
      <c r="BW136">
        <v>1</v>
      </c>
      <c r="BX136">
        <v>1</v>
      </c>
      <c r="BY136" t="s">
        <v>6</v>
      </c>
      <c r="BZ136">
        <v>118</v>
      </c>
      <c r="CA136">
        <v>63</v>
      </c>
      <c r="CE136">
        <v>0</v>
      </c>
      <c r="CF136">
        <v>0</v>
      </c>
      <c r="CG136">
        <v>0</v>
      </c>
      <c r="CM136">
        <v>0</v>
      </c>
      <c r="CN136" t="s">
        <v>1057</v>
      </c>
      <c r="CO136">
        <v>0</v>
      </c>
      <c r="CP136">
        <f t="shared" si="132"/>
        <v>1190.3799999999999</v>
      </c>
      <c r="CQ136">
        <f t="shared" si="133"/>
        <v>8719.6450000000004</v>
      </c>
      <c r="CR136">
        <f t="shared" si="134"/>
        <v>33.818399999999997</v>
      </c>
      <c r="CS136">
        <f t="shared" si="135"/>
        <v>0</v>
      </c>
      <c r="CT136">
        <f t="shared" si="136"/>
        <v>11086.1949</v>
      </c>
      <c r="CU136">
        <f t="shared" si="137"/>
        <v>0</v>
      </c>
      <c r="CV136">
        <f t="shared" si="138"/>
        <v>182.15999999999997</v>
      </c>
      <c r="CW136">
        <f t="shared" si="139"/>
        <v>0</v>
      </c>
      <c r="CX136">
        <f t="shared" si="140"/>
        <v>0</v>
      </c>
      <c r="CY136">
        <f t="shared" si="141"/>
        <v>705.08019999999988</v>
      </c>
      <c r="CZ136">
        <f t="shared" si="142"/>
        <v>359.1918</v>
      </c>
      <c r="DC136" t="s">
        <v>6</v>
      </c>
      <c r="DD136" t="s">
        <v>6</v>
      </c>
      <c r="DE136" t="s">
        <v>174</v>
      </c>
      <c r="DF136" t="s">
        <v>174</v>
      </c>
      <c r="DG136" t="s">
        <v>175</v>
      </c>
      <c r="DH136" t="s">
        <v>6</v>
      </c>
      <c r="DI136" t="s">
        <v>175</v>
      </c>
      <c r="DJ136" t="s">
        <v>174</v>
      </c>
      <c r="DK136" t="s">
        <v>6</v>
      </c>
      <c r="DL136" t="s">
        <v>6</v>
      </c>
      <c r="DM136" t="s">
        <v>6</v>
      </c>
      <c r="DN136">
        <v>0</v>
      </c>
      <c r="DO136">
        <v>0</v>
      </c>
      <c r="DP136">
        <v>1</v>
      </c>
      <c r="DQ136">
        <v>1</v>
      </c>
      <c r="DU136">
        <v>1005</v>
      </c>
      <c r="DV136" t="s">
        <v>18</v>
      </c>
      <c r="DW136" t="s">
        <v>18</v>
      </c>
      <c r="DX136">
        <v>100</v>
      </c>
      <c r="EE136">
        <v>16510487</v>
      </c>
      <c r="EF136">
        <v>2</v>
      </c>
      <c r="EG136" t="s">
        <v>20</v>
      </c>
      <c r="EH136">
        <v>0</v>
      </c>
      <c r="EI136" t="s">
        <v>6</v>
      </c>
      <c r="EJ136">
        <v>1</v>
      </c>
      <c r="EK136">
        <v>10001</v>
      </c>
      <c r="EL136" t="s">
        <v>176</v>
      </c>
      <c r="EM136" t="s">
        <v>177</v>
      </c>
      <c r="EO136" t="s">
        <v>178</v>
      </c>
      <c r="EQ136">
        <v>0</v>
      </c>
      <c r="ER136">
        <v>2500.1</v>
      </c>
      <c r="ES136">
        <v>1299.5</v>
      </c>
      <c r="ET136">
        <v>3.36</v>
      </c>
      <c r="EU136">
        <v>0</v>
      </c>
      <c r="EV136">
        <v>1197.24</v>
      </c>
      <c r="EW136">
        <v>132</v>
      </c>
      <c r="EX136">
        <v>0</v>
      </c>
      <c r="EY136">
        <v>0</v>
      </c>
      <c r="FQ136">
        <v>0</v>
      </c>
      <c r="FR136">
        <f t="shared" si="143"/>
        <v>0</v>
      </c>
      <c r="FS136">
        <v>0</v>
      </c>
      <c r="FT136" t="s">
        <v>23</v>
      </c>
      <c r="FU136" t="s">
        <v>24</v>
      </c>
      <c r="FX136">
        <v>106.2</v>
      </c>
      <c r="FY136">
        <v>53.55</v>
      </c>
      <c r="GA136" t="s">
        <v>6</v>
      </c>
      <c r="GD136">
        <v>0</v>
      </c>
      <c r="GF136">
        <v>1378055854</v>
      </c>
      <c r="GG136">
        <v>1</v>
      </c>
      <c r="GH136">
        <v>1</v>
      </c>
      <c r="GI136">
        <v>4</v>
      </c>
      <c r="GJ136">
        <v>0</v>
      </c>
      <c r="GK136">
        <f>ROUND(R136*(R12)/100,2)</f>
        <v>0</v>
      </c>
      <c r="GL136">
        <f t="shared" si="144"/>
        <v>0</v>
      </c>
      <c r="GM136">
        <f t="shared" si="145"/>
        <v>2254.65</v>
      </c>
      <c r="GN136">
        <f t="shared" si="146"/>
        <v>2254.65</v>
      </c>
      <c r="GO136">
        <f t="shared" si="147"/>
        <v>0</v>
      </c>
      <c r="GP136">
        <f t="shared" si="148"/>
        <v>0</v>
      </c>
      <c r="GR136">
        <v>0</v>
      </c>
      <c r="GS136">
        <v>3</v>
      </c>
      <c r="GT136">
        <v>0</v>
      </c>
      <c r="GU136" t="s">
        <v>6</v>
      </c>
      <c r="GV136">
        <f t="shared" si="149"/>
        <v>0</v>
      </c>
      <c r="GW136">
        <v>1</v>
      </c>
      <c r="GX136">
        <f t="shared" si="150"/>
        <v>0</v>
      </c>
      <c r="HA136">
        <v>0</v>
      </c>
      <c r="HB136">
        <v>0</v>
      </c>
      <c r="HC136">
        <f t="shared" si="151"/>
        <v>0</v>
      </c>
      <c r="IK136">
        <v>0</v>
      </c>
    </row>
    <row r="137" spans="1:245" x14ac:dyDescent="0.2">
      <c r="A137">
        <v>18</v>
      </c>
      <c r="B137">
        <v>1</v>
      </c>
      <c r="C137">
        <v>202</v>
      </c>
      <c r="E137" t="s">
        <v>381</v>
      </c>
      <c r="F137" t="s">
        <v>382</v>
      </c>
      <c r="G137" t="s">
        <v>383</v>
      </c>
      <c r="H137" t="s">
        <v>190</v>
      </c>
      <c r="I137">
        <f>I136*J137</f>
        <v>25.26</v>
      </c>
      <c r="J137">
        <v>421.00000000000006</v>
      </c>
      <c r="O137">
        <f t="shared" si="117"/>
        <v>0</v>
      </c>
      <c r="P137">
        <f t="shared" si="118"/>
        <v>0</v>
      </c>
      <c r="Q137">
        <f t="shared" si="119"/>
        <v>0</v>
      </c>
      <c r="R137">
        <f t="shared" si="120"/>
        <v>0</v>
      </c>
      <c r="S137">
        <f t="shared" si="121"/>
        <v>0</v>
      </c>
      <c r="T137">
        <f t="shared" si="122"/>
        <v>0</v>
      </c>
      <c r="U137">
        <f t="shared" si="123"/>
        <v>0</v>
      </c>
      <c r="V137">
        <f t="shared" si="124"/>
        <v>0</v>
      </c>
      <c r="W137">
        <f t="shared" si="125"/>
        <v>0</v>
      </c>
      <c r="X137">
        <f t="shared" si="126"/>
        <v>0</v>
      </c>
      <c r="Y137">
        <f t="shared" si="127"/>
        <v>0</v>
      </c>
      <c r="AA137">
        <v>16808636</v>
      </c>
      <c r="AB137">
        <f t="shared" si="128"/>
        <v>0</v>
      </c>
      <c r="AC137">
        <f t="shared" si="129"/>
        <v>0</v>
      </c>
      <c r="AD137">
        <f t="shared" ref="AD137:AD147" si="161">ROUND((((ET137)-(EU137))+AE137),2)</f>
        <v>0</v>
      </c>
      <c r="AE137">
        <f t="shared" ref="AE137:AE147" si="162">ROUND((EU137),2)</f>
        <v>0</v>
      </c>
      <c r="AF137">
        <f t="shared" ref="AF137:AF147" si="163">ROUND((EV137),2)</f>
        <v>0</v>
      </c>
      <c r="AG137">
        <f t="shared" si="130"/>
        <v>0</v>
      </c>
      <c r="AH137">
        <f t="shared" ref="AH137:AH147" si="164">(EW137)</f>
        <v>0</v>
      </c>
      <c r="AI137">
        <f t="shared" ref="AI137:AI147" si="165">(EX137)</f>
        <v>0</v>
      </c>
      <c r="AJ137">
        <f t="shared" si="131"/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106</v>
      </c>
      <c r="AU137">
        <v>54</v>
      </c>
      <c r="AV137">
        <v>1</v>
      </c>
      <c r="AW137">
        <v>1</v>
      </c>
      <c r="AZ137">
        <v>6.71</v>
      </c>
      <c r="BA137">
        <v>1</v>
      </c>
      <c r="BB137">
        <v>1</v>
      </c>
      <c r="BC137">
        <v>6.71</v>
      </c>
      <c r="BD137" t="s">
        <v>6</v>
      </c>
      <c r="BE137" t="s">
        <v>6</v>
      </c>
      <c r="BF137" t="s">
        <v>6</v>
      </c>
      <c r="BG137" t="s">
        <v>6</v>
      </c>
      <c r="BH137">
        <v>3</v>
      </c>
      <c r="BI137">
        <v>1</v>
      </c>
      <c r="BJ137" t="s">
        <v>6</v>
      </c>
      <c r="BM137">
        <v>10001</v>
      </c>
      <c r="BN137">
        <v>0</v>
      </c>
      <c r="BO137" t="s">
        <v>6</v>
      </c>
      <c r="BP137">
        <v>0</v>
      </c>
      <c r="BQ137">
        <v>2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6</v>
      </c>
      <c r="BZ137">
        <v>118</v>
      </c>
      <c r="CA137">
        <v>63</v>
      </c>
      <c r="CE137">
        <v>0</v>
      </c>
      <c r="CF137">
        <v>0</v>
      </c>
      <c r="CG137">
        <v>0</v>
      </c>
      <c r="CM137">
        <v>0</v>
      </c>
      <c r="CN137" t="s">
        <v>6</v>
      </c>
      <c r="CO137">
        <v>0</v>
      </c>
      <c r="CP137">
        <f t="shared" si="132"/>
        <v>0</v>
      </c>
      <c r="CQ137">
        <f t="shared" si="133"/>
        <v>0</v>
      </c>
      <c r="CR137">
        <f t="shared" si="134"/>
        <v>0</v>
      </c>
      <c r="CS137">
        <f t="shared" si="135"/>
        <v>0</v>
      </c>
      <c r="CT137">
        <f t="shared" si="136"/>
        <v>0</v>
      </c>
      <c r="CU137">
        <f t="shared" si="137"/>
        <v>0</v>
      </c>
      <c r="CV137">
        <f t="shared" si="138"/>
        <v>0</v>
      </c>
      <c r="CW137">
        <f t="shared" si="139"/>
        <v>0</v>
      </c>
      <c r="CX137">
        <f t="shared" si="140"/>
        <v>0</v>
      </c>
      <c r="CY137">
        <f t="shared" si="141"/>
        <v>0</v>
      </c>
      <c r="CZ137">
        <f t="shared" si="142"/>
        <v>0</v>
      </c>
      <c r="DC137" t="s">
        <v>6</v>
      </c>
      <c r="DD137" t="s">
        <v>6</v>
      </c>
      <c r="DE137" t="s">
        <v>6</v>
      </c>
      <c r="DF137" t="s">
        <v>6</v>
      </c>
      <c r="DG137" t="s">
        <v>6</v>
      </c>
      <c r="DH137" t="s">
        <v>6</v>
      </c>
      <c r="DI137" t="s">
        <v>6</v>
      </c>
      <c r="DJ137" t="s">
        <v>6</v>
      </c>
      <c r="DK137" t="s">
        <v>6</v>
      </c>
      <c r="DL137" t="s">
        <v>6</v>
      </c>
      <c r="DM137" t="s">
        <v>6</v>
      </c>
      <c r="DN137">
        <v>0</v>
      </c>
      <c r="DO137">
        <v>0</v>
      </c>
      <c r="DP137">
        <v>1</v>
      </c>
      <c r="DQ137">
        <v>1</v>
      </c>
      <c r="DU137">
        <v>1005</v>
      </c>
      <c r="DV137" t="s">
        <v>190</v>
      </c>
      <c r="DW137" t="s">
        <v>190</v>
      </c>
      <c r="DX137">
        <v>1</v>
      </c>
      <c r="EE137">
        <v>16510487</v>
      </c>
      <c r="EF137">
        <v>2</v>
      </c>
      <c r="EG137" t="s">
        <v>20</v>
      </c>
      <c r="EH137">
        <v>0</v>
      </c>
      <c r="EI137" t="s">
        <v>6</v>
      </c>
      <c r="EJ137">
        <v>1</v>
      </c>
      <c r="EK137">
        <v>10001</v>
      </c>
      <c r="EL137" t="s">
        <v>176</v>
      </c>
      <c r="EM137" t="s">
        <v>177</v>
      </c>
      <c r="EO137" t="s">
        <v>6</v>
      </c>
      <c r="EQ137">
        <v>0</v>
      </c>
      <c r="ER137">
        <v>0</v>
      </c>
      <c r="ES137">
        <v>0</v>
      </c>
      <c r="ET137">
        <v>0</v>
      </c>
      <c r="EU137">
        <v>0</v>
      </c>
      <c r="EV137">
        <v>0</v>
      </c>
      <c r="EW137">
        <v>0</v>
      </c>
      <c r="EX137">
        <v>0</v>
      </c>
      <c r="FQ137">
        <v>0</v>
      </c>
      <c r="FR137">
        <f t="shared" si="143"/>
        <v>0</v>
      </c>
      <c r="FS137">
        <v>0</v>
      </c>
      <c r="FT137" t="s">
        <v>23</v>
      </c>
      <c r="FU137" t="s">
        <v>24</v>
      </c>
      <c r="FX137">
        <v>106.2</v>
      </c>
      <c r="FY137">
        <v>53.55</v>
      </c>
      <c r="GA137" t="s">
        <v>6</v>
      </c>
      <c r="GD137">
        <v>0</v>
      </c>
      <c r="GF137">
        <v>-354280000</v>
      </c>
      <c r="GG137">
        <v>1</v>
      </c>
      <c r="GH137">
        <v>1</v>
      </c>
      <c r="GI137">
        <v>4</v>
      </c>
      <c r="GJ137">
        <v>0</v>
      </c>
      <c r="GK137">
        <f>ROUND(R137*(R12)/100,2)</f>
        <v>0</v>
      </c>
      <c r="GL137">
        <f t="shared" si="144"/>
        <v>0</v>
      </c>
      <c r="GM137">
        <f t="shared" si="145"/>
        <v>0</v>
      </c>
      <c r="GN137">
        <f t="shared" si="146"/>
        <v>0</v>
      </c>
      <c r="GO137">
        <f t="shared" si="147"/>
        <v>0</v>
      </c>
      <c r="GP137">
        <f t="shared" si="148"/>
        <v>0</v>
      </c>
      <c r="GR137">
        <v>0</v>
      </c>
      <c r="GS137">
        <v>3</v>
      </c>
      <c r="GT137">
        <v>0</v>
      </c>
      <c r="GU137" t="s">
        <v>6</v>
      </c>
      <c r="GV137">
        <f t="shared" si="149"/>
        <v>0</v>
      </c>
      <c r="GW137">
        <v>1</v>
      </c>
      <c r="GX137">
        <f t="shared" si="150"/>
        <v>0</v>
      </c>
      <c r="HA137">
        <v>0</v>
      </c>
      <c r="HB137">
        <v>0</v>
      </c>
      <c r="HC137">
        <f t="shared" si="151"/>
        <v>0</v>
      </c>
      <c r="IK137">
        <v>0</v>
      </c>
    </row>
    <row r="138" spans="1:245" x14ac:dyDescent="0.2">
      <c r="A138">
        <v>18</v>
      </c>
      <c r="B138">
        <v>1</v>
      </c>
      <c r="C138">
        <v>203</v>
      </c>
      <c r="E138" t="s">
        <v>384</v>
      </c>
      <c r="F138" t="s">
        <v>385</v>
      </c>
      <c r="G138" t="s">
        <v>386</v>
      </c>
      <c r="H138" t="s">
        <v>190</v>
      </c>
      <c r="I138">
        <f>I136*J138</f>
        <v>25.26</v>
      </c>
      <c r="J138">
        <v>421.00000000000006</v>
      </c>
      <c r="O138">
        <f t="shared" si="117"/>
        <v>3469.55</v>
      </c>
      <c r="P138">
        <f t="shared" si="118"/>
        <v>3469.55</v>
      </c>
      <c r="Q138">
        <f t="shared" si="119"/>
        <v>0</v>
      </c>
      <c r="R138">
        <f t="shared" si="120"/>
        <v>0</v>
      </c>
      <c r="S138">
        <f t="shared" si="121"/>
        <v>0</v>
      </c>
      <c r="T138">
        <f t="shared" si="122"/>
        <v>0</v>
      </c>
      <c r="U138">
        <f t="shared" si="123"/>
        <v>0</v>
      </c>
      <c r="V138">
        <f t="shared" si="124"/>
        <v>0</v>
      </c>
      <c r="W138">
        <f t="shared" si="125"/>
        <v>0</v>
      </c>
      <c r="X138">
        <f t="shared" si="126"/>
        <v>0</v>
      </c>
      <c r="Y138">
        <f t="shared" si="127"/>
        <v>0</v>
      </c>
      <c r="AA138">
        <v>16808636</v>
      </c>
      <c r="AB138">
        <f t="shared" si="128"/>
        <v>20.47</v>
      </c>
      <c r="AC138">
        <f t="shared" si="129"/>
        <v>20.47</v>
      </c>
      <c r="AD138">
        <f t="shared" si="161"/>
        <v>0</v>
      </c>
      <c r="AE138">
        <f t="shared" si="162"/>
        <v>0</v>
      </c>
      <c r="AF138">
        <f t="shared" si="163"/>
        <v>0</v>
      </c>
      <c r="AG138">
        <f t="shared" si="130"/>
        <v>0</v>
      </c>
      <c r="AH138">
        <f t="shared" si="164"/>
        <v>0</v>
      </c>
      <c r="AI138">
        <f t="shared" si="165"/>
        <v>0</v>
      </c>
      <c r="AJ138">
        <f t="shared" si="131"/>
        <v>0</v>
      </c>
      <c r="AK138">
        <v>20.47</v>
      </c>
      <c r="AL138">
        <v>20.47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106</v>
      </c>
      <c r="AU138">
        <v>54</v>
      </c>
      <c r="AV138">
        <v>1</v>
      </c>
      <c r="AW138">
        <v>1</v>
      </c>
      <c r="AZ138">
        <v>6.71</v>
      </c>
      <c r="BA138">
        <v>1</v>
      </c>
      <c r="BB138">
        <v>1</v>
      </c>
      <c r="BC138">
        <v>6.71</v>
      </c>
      <c r="BD138" t="s">
        <v>6</v>
      </c>
      <c r="BE138" t="s">
        <v>6</v>
      </c>
      <c r="BF138" t="s">
        <v>6</v>
      </c>
      <c r="BG138" t="s">
        <v>6</v>
      </c>
      <c r="BH138">
        <v>3</v>
      </c>
      <c r="BI138">
        <v>1</v>
      </c>
      <c r="BJ138" t="s">
        <v>387</v>
      </c>
      <c r="BM138">
        <v>10001</v>
      </c>
      <c r="BN138">
        <v>0</v>
      </c>
      <c r="BO138" t="s">
        <v>6</v>
      </c>
      <c r="BP138">
        <v>0</v>
      </c>
      <c r="BQ138">
        <v>2</v>
      </c>
      <c r="BR138">
        <v>0</v>
      </c>
      <c r="BS138">
        <v>1</v>
      </c>
      <c r="BT138">
        <v>1</v>
      </c>
      <c r="BU138">
        <v>1</v>
      </c>
      <c r="BV138">
        <v>1</v>
      </c>
      <c r="BW138">
        <v>1</v>
      </c>
      <c r="BX138">
        <v>1</v>
      </c>
      <c r="BY138" t="s">
        <v>6</v>
      </c>
      <c r="BZ138">
        <v>118</v>
      </c>
      <c r="CA138">
        <v>63</v>
      </c>
      <c r="CE138">
        <v>0</v>
      </c>
      <c r="CF138">
        <v>0</v>
      </c>
      <c r="CG138">
        <v>0</v>
      </c>
      <c r="CM138">
        <v>0</v>
      </c>
      <c r="CN138" t="s">
        <v>6</v>
      </c>
      <c r="CO138">
        <v>0</v>
      </c>
      <c r="CP138">
        <f t="shared" si="132"/>
        <v>3469.55</v>
      </c>
      <c r="CQ138">
        <f t="shared" si="133"/>
        <v>137.3537</v>
      </c>
      <c r="CR138">
        <f t="shared" si="134"/>
        <v>0</v>
      </c>
      <c r="CS138">
        <f t="shared" si="135"/>
        <v>0</v>
      </c>
      <c r="CT138">
        <f t="shared" si="136"/>
        <v>0</v>
      </c>
      <c r="CU138">
        <f t="shared" si="137"/>
        <v>0</v>
      </c>
      <c r="CV138">
        <f t="shared" si="138"/>
        <v>0</v>
      </c>
      <c r="CW138">
        <f t="shared" si="139"/>
        <v>0</v>
      </c>
      <c r="CX138">
        <f t="shared" si="140"/>
        <v>0</v>
      </c>
      <c r="CY138">
        <f t="shared" si="141"/>
        <v>0</v>
      </c>
      <c r="CZ138">
        <f t="shared" si="142"/>
        <v>0</v>
      </c>
      <c r="DC138" t="s">
        <v>6</v>
      </c>
      <c r="DD138" t="s">
        <v>6</v>
      </c>
      <c r="DE138" t="s">
        <v>6</v>
      </c>
      <c r="DF138" t="s">
        <v>6</v>
      </c>
      <c r="DG138" t="s">
        <v>6</v>
      </c>
      <c r="DH138" t="s">
        <v>6</v>
      </c>
      <c r="DI138" t="s">
        <v>6</v>
      </c>
      <c r="DJ138" t="s">
        <v>6</v>
      </c>
      <c r="DK138" t="s">
        <v>6</v>
      </c>
      <c r="DL138" t="s">
        <v>6</v>
      </c>
      <c r="DM138" t="s">
        <v>6</v>
      </c>
      <c r="DN138">
        <v>0</v>
      </c>
      <c r="DO138">
        <v>0</v>
      </c>
      <c r="DP138">
        <v>1</v>
      </c>
      <c r="DQ138">
        <v>1</v>
      </c>
      <c r="DU138">
        <v>1005</v>
      </c>
      <c r="DV138" t="s">
        <v>190</v>
      </c>
      <c r="DW138" t="s">
        <v>190</v>
      </c>
      <c r="DX138">
        <v>1</v>
      </c>
      <c r="EE138">
        <v>16510487</v>
      </c>
      <c r="EF138">
        <v>2</v>
      </c>
      <c r="EG138" t="s">
        <v>20</v>
      </c>
      <c r="EH138">
        <v>0</v>
      </c>
      <c r="EI138" t="s">
        <v>6</v>
      </c>
      <c r="EJ138">
        <v>1</v>
      </c>
      <c r="EK138">
        <v>10001</v>
      </c>
      <c r="EL138" t="s">
        <v>176</v>
      </c>
      <c r="EM138" t="s">
        <v>177</v>
      </c>
      <c r="EO138" t="s">
        <v>6</v>
      </c>
      <c r="EQ138">
        <v>0</v>
      </c>
      <c r="ER138">
        <v>20.47</v>
      </c>
      <c r="ES138">
        <v>20.47</v>
      </c>
      <c r="ET138">
        <v>0</v>
      </c>
      <c r="EU138">
        <v>0</v>
      </c>
      <c r="EV138">
        <v>0</v>
      </c>
      <c r="EW138">
        <v>0</v>
      </c>
      <c r="EX138">
        <v>0</v>
      </c>
      <c r="FQ138">
        <v>0</v>
      </c>
      <c r="FR138">
        <f t="shared" si="143"/>
        <v>0</v>
      </c>
      <c r="FS138">
        <v>0</v>
      </c>
      <c r="FT138" t="s">
        <v>23</v>
      </c>
      <c r="FU138" t="s">
        <v>24</v>
      </c>
      <c r="FX138">
        <v>106.2</v>
      </c>
      <c r="FY138">
        <v>53.55</v>
      </c>
      <c r="GA138" t="s">
        <v>6</v>
      </c>
      <c r="GD138">
        <v>0</v>
      </c>
      <c r="GF138">
        <v>675650468</v>
      </c>
      <c r="GG138">
        <v>1</v>
      </c>
      <c r="GH138">
        <v>1</v>
      </c>
      <c r="GI138">
        <v>4</v>
      </c>
      <c r="GJ138">
        <v>0</v>
      </c>
      <c r="GK138">
        <f>ROUND(R138*(R12)/100,2)</f>
        <v>0</v>
      </c>
      <c r="GL138">
        <f t="shared" si="144"/>
        <v>0</v>
      </c>
      <c r="GM138">
        <f t="shared" si="145"/>
        <v>3469.55</v>
      </c>
      <c r="GN138">
        <f t="shared" si="146"/>
        <v>3469.55</v>
      </c>
      <c r="GO138">
        <f t="shared" si="147"/>
        <v>0</v>
      </c>
      <c r="GP138">
        <f t="shared" si="148"/>
        <v>0</v>
      </c>
      <c r="GR138">
        <v>0</v>
      </c>
      <c r="GS138">
        <v>3</v>
      </c>
      <c r="GT138">
        <v>0</v>
      </c>
      <c r="GU138" t="s">
        <v>6</v>
      </c>
      <c r="GV138">
        <f t="shared" si="149"/>
        <v>0</v>
      </c>
      <c r="GW138">
        <v>1</v>
      </c>
      <c r="GX138">
        <f t="shared" si="150"/>
        <v>0</v>
      </c>
      <c r="HA138">
        <v>0</v>
      </c>
      <c r="HB138">
        <v>0</v>
      </c>
      <c r="HC138">
        <f t="shared" si="151"/>
        <v>0</v>
      </c>
      <c r="IK138">
        <v>0</v>
      </c>
    </row>
    <row r="139" spans="1:245" x14ac:dyDescent="0.2">
      <c r="A139">
        <v>18</v>
      </c>
      <c r="B139">
        <v>1</v>
      </c>
      <c r="C139">
        <v>205</v>
      </c>
      <c r="E139" t="s">
        <v>388</v>
      </c>
      <c r="F139" t="s">
        <v>389</v>
      </c>
      <c r="G139" t="s">
        <v>390</v>
      </c>
      <c r="H139" t="s">
        <v>202</v>
      </c>
      <c r="I139">
        <f>I136*J139</f>
        <v>7.56</v>
      </c>
      <c r="J139">
        <v>126</v>
      </c>
      <c r="O139">
        <f t="shared" si="117"/>
        <v>30.44</v>
      </c>
      <c r="P139">
        <f t="shared" si="118"/>
        <v>30.44</v>
      </c>
      <c r="Q139">
        <f t="shared" si="119"/>
        <v>0</v>
      </c>
      <c r="R139">
        <f t="shared" si="120"/>
        <v>0</v>
      </c>
      <c r="S139">
        <f t="shared" si="121"/>
        <v>0</v>
      </c>
      <c r="T139">
        <f t="shared" si="122"/>
        <v>0</v>
      </c>
      <c r="U139">
        <f t="shared" si="123"/>
        <v>0</v>
      </c>
      <c r="V139">
        <f t="shared" si="124"/>
        <v>0</v>
      </c>
      <c r="W139">
        <f t="shared" si="125"/>
        <v>0</v>
      </c>
      <c r="X139">
        <f t="shared" si="126"/>
        <v>0</v>
      </c>
      <c r="Y139">
        <f t="shared" si="127"/>
        <v>0</v>
      </c>
      <c r="AA139">
        <v>16808636</v>
      </c>
      <c r="AB139">
        <f t="shared" si="128"/>
        <v>0.6</v>
      </c>
      <c r="AC139">
        <f t="shared" si="129"/>
        <v>0.6</v>
      </c>
      <c r="AD139">
        <f t="shared" si="161"/>
        <v>0</v>
      </c>
      <c r="AE139">
        <f t="shared" si="162"/>
        <v>0</v>
      </c>
      <c r="AF139">
        <f t="shared" si="163"/>
        <v>0</v>
      </c>
      <c r="AG139">
        <f t="shared" si="130"/>
        <v>0</v>
      </c>
      <c r="AH139">
        <f t="shared" si="164"/>
        <v>0</v>
      </c>
      <c r="AI139">
        <f t="shared" si="165"/>
        <v>0</v>
      </c>
      <c r="AJ139">
        <f t="shared" si="131"/>
        <v>0</v>
      </c>
      <c r="AK139">
        <v>0.6</v>
      </c>
      <c r="AL139">
        <v>0.6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106</v>
      </c>
      <c r="AU139">
        <v>54</v>
      </c>
      <c r="AV139">
        <v>1</v>
      </c>
      <c r="AW139">
        <v>1</v>
      </c>
      <c r="AZ139">
        <v>6.71</v>
      </c>
      <c r="BA139">
        <v>1</v>
      </c>
      <c r="BB139">
        <v>1</v>
      </c>
      <c r="BC139">
        <v>6.71</v>
      </c>
      <c r="BD139" t="s">
        <v>6</v>
      </c>
      <c r="BE139" t="s">
        <v>6</v>
      </c>
      <c r="BF139" t="s">
        <v>6</v>
      </c>
      <c r="BG139" t="s">
        <v>6</v>
      </c>
      <c r="BH139">
        <v>3</v>
      </c>
      <c r="BI139">
        <v>1</v>
      </c>
      <c r="BJ139" t="s">
        <v>391</v>
      </c>
      <c r="BM139">
        <v>10001</v>
      </c>
      <c r="BN139">
        <v>0</v>
      </c>
      <c r="BO139" t="s">
        <v>6</v>
      </c>
      <c r="BP139">
        <v>0</v>
      </c>
      <c r="BQ139">
        <v>2</v>
      </c>
      <c r="BR139">
        <v>0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6</v>
      </c>
      <c r="BZ139">
        <v>118</v>
      </c>
      <c r="CA139">
        <v>63</v>
      </c>
      <c r="CE139">
        <v>0</v>
      </c>
      <c r="CF139">
        <v>0</v>
      </c>
      <c r="CG139">
        <v>0</v>
      </c>
      <c r="CM139">
        <v>0</v>
      </c>
      <c r="CN139" t="s">
        <v>6</v>
      </c>
      <c r="CO139">
        <v>0</v>
      </c>
      <c r="CP139">
        <f t="shared" si="132"/>
        <v>30.44</v>
      </c>
      <c r="CQ139">
        <f t="shared" si="133"/>
        <v>4.0259999999999998</v>
      </c>
      <c r="CR139">
        <f t="shared" si="134"/>
        <v>0</v>
      </c>
      <c r="CS139">
        <f t="shared" si="135"/>
        <v>0</v>
      </c>
      <c r="CT139">
        <f t="shared" si="136"/>
        <v>0</v>
      </c>
      <c r="CU139">
        <f t="shared" si="137"/>
        <v>0</v>
      </c>
      <c r="CV139">
        <f t="shared" si="138"/>
        <v>0</v>
      </c>
      <c r="CW139">
        <f t="shared" si="139"/>
        <v>0</v>
      </c>
      <c r="CX139">
        <f t="shared" si="140"/>
        <v>0</v>
      </c>
      <c r="CY139">
        <f t="shared" si="141"/>
        <v>0</v>
      </c>
      <c r="CZ139">
        <f t="shared" si="142"/>
        <v>0</v>
      </c>
      <c r="DC139" t="s">
        <v>6</v>
      </c>
      <c r="DD139" t="s">
        <v>6</v>
      </c>
      <c r="DE139" t="s">
        <v>6</v>
      </c>
      <c r="DF139" t="s">
        <v>6</v>
      </c>
      <c r="DG139" t="s">
        <v>6</v>
      </c>
      <c r="DH139" t="s">
        <v>6</v>
      </c>
      <c r="DI139" t="s">
        <v>6</v>
      </c>
      <c r="DJ139" t="s">
        <v>6</v>
      </c>
      <c r="DK139" t="s">
        <v>6</v>
      </c>
      <c r="DL139" t="s">
        <v>6</v>
      </c>
      <c r="DM139" t="s">
        <v>6</v>
      </c>
      <c r="DN139">
        <v>0</v>
      </c>
      <c r="DO139">
        <v>0</v>
      </c>
      <c r="DP139">
        <v>1</v>
      </c>
      <c r="DQ139">
        <v>1</v>
      </c>
      <c r="DU139">
        <v>1003</v>
      </c>
      <c r="DV139" t="s">
        <v>202</v>
      </c>
      <c r="DW139" t="s">
        <v>202</v>
      </c>
      <c r="DX139">
        <v>1</v>
      </c>
      <c r="EE139">
        <v>16510487</v>
      </c>
      <c r="EF139">
        <v>2</v>
      </c>
      <c r="EG139" t="s">
        <v>20</v>
      </c>
      <c r="EH139">
        <v>0</v>
      </c>
      <c r="EI139" t="s">
        <v>6</v>
      </c>
      <c r="EJ139">
        <v>1</v>
      </c>
      <c r="EK139">
        <v>10001</v>
      </c>
      <c r="EL139" t="s">
        <v>176</v>
      </c>
      <c r="EM139" t="s">
        <v>177</v>
      </c>
      <c r="EO139" t="s">
        <v>6</v>
      </c>
      <c r="EQ139">
        <v>0</v>
      </c>
      <c r="ER139">
        <v>0.6</v>
      </c>
      <c r="ES139">
        <v>0.6</v>
      </c>
      <c r="ET139">
        <v>0</v>
      </c>
      <c r="EU139">
        <v>0</v>
      </c>
      <c r="EV139">
        <v>0</v>
      </c>
      <c r="EW139">
        <v>0</v>
      </c>
      <c r="EX139">
        <v>0</v>
      </c>
      <c r="FQ139">
        <v>0</v>
      </c>
      <c r="FR139">
        <f t="shared" si="143"/>
        <v>0</v>
      </c>
      <c r="FS139">
        <v>0</v>
      </c>
      <c r="FT139" t="s">
        <v>23</v>
      </c>
      <c r="FU139" t="s">
        <v>24</v>
      </c>
      <c r="FX139">
        <v>106.2</v>
      </c>
      <c r="FY139">
        <v>53.55</v>
      </c>
      <c r="GA139" t="s">
        <v>6</v>
      </c>
      <c r="GD139">
        <v>0</v>
      </c>
      <c r="GF139">
        <v>207034482</v>
      </c>
      <c r="GG139">
        <v>1</v>
      </c>
      <c r="GH139">
        <v>1</v>
      </c>
      <c r="GI139">
        <v>4</v>
      </c>
      <c r="GJ139">
        <v>0</v>
      </c>
      <c r="GK139">
        <f>ROUND(R139*(R12)/100,2)</f>
        <v>0</v>
      </c>
      <c r="GL139">
        <f t="shared" si="144"/>
        <v>0</v>
      </c>
      <c r="GM139">
        <f t="shared" si="145"/>
        <v>30.44</v>
      </c>
      <c r="GN139">
        <f t="shared" si="146"/>
        <v>30.44</v>
      </c>
      <c r="GO139">
        <f t="shared" si="147"/>
        <v>0</v>
      </c>
      <c r="GP139">
        <f t="shared" si="148"/>
        <v>0</v>
      </c>
      <c r="GR139">
        <v>0</v>
      </c>
      <c r="GS139">
        <v>3</v>
      </c>
      <c r="GT139">
        <v>0</v>
      </c>
      <c r="GU139" t="s">
        <v>6</v>
      </c>
      <c r="GV139">
        <f t="shared" si="149"/>
        <v>0</v>
      </c>
      <c r="GW139">
        <v>1</v>
      </c>
      <c r="GX139">
        <f t="shared" si="150"/>
        <v>0</v>
      </c>
      <c r="HA139">
        <v>0</v>
      </c>
      <c r="HB139">
        <v>0</v>
      </c>
      <c r="HC139">
        <f t="shared" si="151"/>
        <v>0</v>
      </c>
      <c r="IK139">
        <v>0</v>
      </c>
    </row>
    <row r="140" spans="1:245" x14ac:dyDescent="0.2">
      <c r="A140">
        <v>18</v>
      </c>
      <c r="B140">
        <v>1</v>
      </c>
      <c r="C140">
        <v>208</v>
      </c>
      <c r="E140" t="s">
        <v>392</v>
      </c>
      <c r="F140" t="s">
        <v>393</v>
      </c>
      <c r="G140" t="s">
        <v>394</v>
      </c>
      <c r="H140" t="s">
        <v>202</v>
      </c>
      <c r="I140">
        <f>I136*J140</f>
        <v>7.56</v>
      </c>
      <c r="J140">
        <v>126</v>
      </c>
      <c r="O140">
        <f t="shared" si="117"/>
        <v>0</v>
      </c>
      <c r="P140">
        <f t="shared" si="118"/>
        <v>0</v>
      </c>
      <c r="Q140">
        <f t="shared" si="119"/>
        <v>0</v>
      </c>
      <c r="R140">
        <f t="shared" si="120"/>
        <v>0</v>
      </c>
      <c r="S140">
        <f t="shared" si="121"/>
        <v>0</v>
      </c>
      <c r="T140">
        <f t="shared" si="122"/>
        <v>0</v>
      </c>
      <c r="U140">
        <f t="shared" si="123"/>
        <v>0</v>
      </c>
      <c r="V140">
        <f t="shared" si="124"/>
        <v>0</v>
      </c>
      <c r="W140">
        <f t="shared" si="125"/>
        <v>0</v>
      </c>
      <c r="X140">
        <f t="shared" si="126"/>
        <v>0</v>
      </c>
      <c r="Y140">
        <f t="shared" si="127"/>
        <v>0</v>
      </c>
      <c r="AA140">
        <v>16808636</v>
      </c>
      <c r="AB140">
        <f t="shared" si="128"/>
        <v>0</v>
      </c>
      <c r="AC140">
        <f t="shared" si="129"/>
        <v>0</v>
      </c>
      <c r="AD140">
        <f t="shared" si="161"/>
        <v>0</v>
      </c>
      <c r="AE140">
        <f t="shared" si="162"/>
        <v>0</v>
      </c>
      <c r="AF140">
        <f t="shared" si="163"/>
        <v>0</v>
      </c>
      <c r="AG140">
        <f t="shared" si="130"/>
        <v>0</v>
      </c>
      <c r="AH140">
        <f t="shared" si="164"/>
        <v>0</v>
      </c>
      <c r="AI140">
        <f t="shared" si="165"/>
        <v>0</v>
      </c>
      <c r="AJ140">
        <f t="shared" si="131"/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106</v>
      </c>
      <c r="AU140">
        <v>54</v>
      </c>
      <c r="AV140">
        <v>1</v>
      </c>
      <c r="AW140">
        <v>1</v>
      </c>
      <c r="AZ140">
        <v>6.71</v>
      </c>
      <c r="BA140">
        <v>1</v>
      </c>
      <c r="BB140">
        <v>1</v>
      </c>
      <c r="BC140">
        <v>6.71</v>
      </c>
      <c r="BD140" t="s">
        <v>6</v>
      </c>
      <c r="BE140" t="s">
        <v>6</v>
      </c>
      <c r="BF140" t="s">
        <v>6</v>
      </c>
      <c r="BG140" t="s">
        <v>6</v>
      </c>
      <c r="BH140">
        <v>3</v>
      </c>
      <c r="BI140">
        <v>1</v>
      </c>
      <c r="BJ140" t="s">
        <v>6</v>
      </c>
      <c r="BM140">
        <v>10001</v>
      </c>
      <c r="BN140">
        <v>0</v>
      </c>
      <c r="BO140" t="s">
        <v>6</v>
      </c>
      <c r="BP140">
        <v>0</v>
      </c>
      <c r="BQ140">
        <v>2</v>
      </c>
      <c r="BR140">
        <v>0</v>
      </c>
      <c r="BS140">
        <v>1</v>
      </c>
      <c r="BT140">
        <v>1</v>
      </c>
      <c r="BU140">
        <v>1</v>
      </c>
      <c r="BV140">
        <v>1</v>
      </c>
      <c r="BW140">
        <v>1</v>
      </c>
      <c r="BX140">
        <v>1</v>
      </c>
      <c r="BY140" t="s">
        <v>6</v>
      </c>
      <c r="BZ140">
        <v>118</v>
      </c>
      <c r="CA140">
        <v>63</v>
      </c>
      <c r="CE140">
        <v>0</v>
      </c>
      <c r="CF140">
        <v>0</v>
      </c>
      <c r="CG140">
        <v>0</v>
      </c>
      <c r="CM140">
        <v>0</v>
      </c>
      <c r="CN140" t="s">
        <v>6</v>
      </c>
      <c r="CO140">
        <v>0</v>
      </c>
      <c r="CP140">
        <f t="shared" si="132"/>
        <v>0</v>
      </c>
      <c r="CQ140">
        <f t="shared" si="133"/>
        <v>0</v>
      </c>
      <c r="CR140">
        <f t="shared" si="134"/>
        <v>0</v>
      </c>
      <c r="CS140">
        <f t="shared" si="135"/>
        <v>0</v>
      </c>
      <c r="CT140">
        <f t="shared" si="136"/>
        <v>0</v>
      </c>
      <c r="CU140">
        <f t="shared" si="137"/>
        <v>0</v>
      </c>
      <c r="CV140">
        <f t="shared" si="138"/>
        <v>0</v>
      </c>
      <c r="CW140">
        <f t="shared" si="139"/>
        <v>0</v>
      </c>
      <c r="CX140">
        <f t="shared" si="140"/>
        <v>0</v>
      </c>
      <c r="CY140">
        <f t="shared" si="141"/>
        <v>0</v>
      </c>
      <c r="CZ140">
        <f t="shared" si="142"/>
        <v>0</v>
      </c>
      <c r="DC140" t="s">
        <v>6</v>
      </c>
      <c r="DD140" t="s">
        <v>6</v>
      </c>
      <c r="DE140" t="s">
        <v>6</v>
      </c>
      <c r="DF140" t="s">
        <v>6</v>
      </c>
      <c r="DG140" t="s">
        <v>6</v>
      </c>
      <c r="DH140" t="s">
        <v>6</v>
      </c>
      <c r="DI140" t="s">
        <v>6</v>
      </c>
      <c r="DJ140" t="s">
        <v>6</v>
      </c>
      <c r="DK140" t="s">
        <v>6</v>
      </c>
      <c r="DL140" t="s">
        <v>6</v>
      </c>
      <c r="DM140" t="s">
        <v>6</v>
      </c>
      <c r="DN140">
        <v>0</v>
      </c>
      <c r="DO140">
        <v>0</v>
      </c>
      <c r="DP140">
        <v>1</v>
      </c>
      <c r="DQ140">
        <v>1</v>
      </c>
      <c r="DU140">
        <v>1003</v>
      </c>
      <c r="DV140" t="s">
        <v>202</v>
      </c>
      <c r="DW140" t="s">
        <v>202</v>
      </c>
      <c r="DX140">
        <v>1</v>
      </c>
      <c r="EE140">
        <v>16510487</v>
      </c>
      <c r="EF140">
        <v>2</v>
      </c>
      <c r="EG140" t="s">
        <v>20</v>
      </c>
      <c r="EH140">
        <v>0</v>
      </c>
      <c r="EI140" t="s">
        <v>6</v>
      </c>
      <c r="EJ140">
        <v>1</v>
      </c>
      <c r="EK140">
        <v>10001</v>
      </c>
      <c r="EL140" t="s">
        <v>176</v>
      </c>
      <c r="EM140" t="s">
        <v>177</v>
      </c>
      <c r="EO140" t="s">
        <v>6</v>
      </c>
      <c r="EQ140">
        <v>0</v>
      </c>
      <c r="ER140">
        <v>0</v>
      </c>
      <c r="ES140">
        <v>0</v>
      </c>
      <c r="ET140">
        <v>0</v>
      </c>
      <c r="EU140">
        <v>0</v>
      </c>
      <c r="EV140">
        <v>0</v>
      </c>
      <c r="EW140">
        <v>0</v>
      </c>
      <c r="EX140">
        <v>0</v>
      </c>
      <c r="FQ140">
        <v>0</v>
      </c>
      <c r="FR140">
        <f t="shared" si="143"/>
        <v>0</v>
      </c>
      <c r="FS140">
        <v>0</v>
      </c>
      <c r="FT140" t="s">
        <v>23</v>
      </c>
      <c r="FU140" t="s">
        <v>24</v>
      </c>
      <c r="FX140">
        <v>106.2</v>
      </c>
      <c r="FY140">
        <v>53.55</v>
      </c>
      <c r="GA140" t="s">
        <v>6</v>
      </c>
      <c r="GD140">
        <v>0</v>
      </c>
      <c r="GF140">
        <v>-1225318320</v>
      </c>
      <c r="GG140">
        <v>1</v>
      </c>
      <c r="GH140">
        <v>1</v>
      </c>
      <c r="GI140">
        <v>4</v>
      </c>
      <c r="GJ140">
        <v>0</v>
      </c>
      <c r="GK140">
        <f>ROUND(R140*(R12)/100,2)</f>
        <v>0</v>
      </c>
      <c r="GL140">
        <f t="shared" si="144"/>
        <v>0</v>
      </c>
      <c r="GM140">
        <f t="shared" si="145"/>
        <v>0</v>
      </c>
      <c r="GN140">
        <f t="shared" si="146"/>
        <v>0</v>
      </c>
      <c r="GO140">
        <f t="shared" si="147"/>
        <v>0</v>
      </c>
      <c r="GP140">
        <f t="shared" si="148"/>
        <v>0</v>
      </c>
      <c r="GR140">
        <v>0</v>
      </c>
      <c r="GS140">
        <v>3</v>
      </c>
      <c r="GT140">
        <v>0</v>
      </c>
      <c r="GU140" t="s">
        <v>6</v>
      </c>
      <c r="GV140">
        <f t="shared" si="149"/>
        <v>0</v>
      </c>
      <c r="GW140">
        <v>1</v>
      </c>
      <c r="GX140">
        <f t="shared" si="150"/>
        <v>0</v>
      </c>
      <c r="HA140">
        <v>0</v>
      </c>
      <c r="HB140">
        <v>0</v>
      </c>
      <c r="HC140">
        <f t="shared" si="151"/>
        <v>0</v>
      </c>
      <c r="IK140">
        <v>0</v>
      </c>
    </row>
    <row r="141" spans="1:245" x14ac:dyDescent="0.2">
      <c r="A141">
        <v>18</v>
      </c>
      <c r="B141">
        <v>1</v>
      </c>
      <c r="C141">
        <v>212</v>
      </c>
      <c r="E141" t="s">
        <v>395</v>
      </c>
      <c r="F141" t="s">
        <v>396</v>
      </c>
      <c r="G141" t="s">
        <v>397</v>
      </c>
      <c r="H141" t="s">
        <v>202</v>
      </c>
      <c r="I141">
        <f>I136*J141</f>
        <v>4.5599999999999996</v>
      </c>
      <c r="J141">
        <v>76</v>
      </c>
      <c r="O141">
        <f t="shared" si="117"/>
        <v>0</v>
      </c>
      <c r="P141">
        <f t="shared" si="118"/>
        <v>0</v>
      </c>
      <c r="Q141">
        <f t="shared" si="119"/>
        <v>0</v>
      </c>
      <c r="R141">
        <f t="shared" si="120"/>
        <v>0</v>
      </c>
      <c r="S141">
        <f t="shared" si="121"/>
        <v>0</v>
      </c>
      <c r="T141">
        <f t="shared" si="122"/>
        <v>0</v>
      </c>
      <c r="U141">
        <f t="shared" si="123"/>
        <v>0</v>
      </c>
      <c r="V141">
        <f t="shared" si="124"/>
        <v>0</v>
      </c>
      <c r="W141">
        <f t="shared" si="125"/>
        <v>0</v>
      </c>
      <c r="X141">
        <f t="shared" si="126"/>
        <v>0</v>
      </c>
      <c r="Y141">
        <f t="shared" si="127"/>
        <v>0</v>
      </c>
      <c r="AA141">
        <v>16808636</v>
      </c>
      <c r="AB141">
        <f t="shared" si="128"/>
        <v>0</v>
      </c>
      <c r="AC141">
        <f t="shared" si="129"/>
        <v>0</v>
      </c>
      <c r="AD141">
        <f t="shared" si="161"/>
        <v>0</v>
      </c>
      <c r="AE141">
        <f t="shared" si="162"/>
        <v>0</v>
      </c>
      <c r="AF141">
        <f t="shared" si="163"/>
        <v>0</v>
      </c>
      <c r="AG141">
        <f t="shared" si="130"/>
        <v>0</v>
      </c>
      <c r="AH141">
        <f t="shared" si="164"/>
        <v>0</v>
      </c>
      <c r="AI141">
        <f t="shared" si="165"/>
        <v>0</v>
      </c>
      <c r="AJ141">
        <f t="shared" si="131"/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106</v>
      </c>
      <c r="AU141">
        <v>54</v>
      </c>
      <c r="AV141">
        <v>1</v>
      </c>
      <c r="AW141">
        <v>1</v>
      </c>
      <c r="AZ141">
        <v>6.71</v>
      </c>
      <c r="BA141">
        <v>1</v>
      </c>
      <c r="BB141">
        <v>1</v>
      </c>
      <c r="BC141">
        <v>6.71</v>
      </c>
      <c r="BD141" t="s">
        <v>6</v>
      </c>
      <c r="BE141" t="s">
        <v>6</v>
      </c>
      <c r="BF141" t="s">
        <v>6</v>
      </c>
      <c r="BG141" t="s">
        <v>6</v>
      </c>
      <c r="BH141">
        <v>3</v>
      </c>
      <c r="BI141">
        <v>1</v>
      </c>
      <c r="BJ141" t="s">
        <v>6</v>
      </c>
      <c r="BM141">
        <v>10001</v>
      </c>
      <c r="BN141">
        <v>0</v>
      </c>
      <c r="BO141" t="s">
        <v>6</v>
      </c>
      <c r="BP141">
        <v>0</v>
      </c>
      <c r="BQ141">
        <v>2</v>
      </c>
      <c r="BR141">
        <v>0</v>
      </c>
      <c r="BS141">
        <v>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6</v>
      </c>
      <c r="BZ141">
        <v>118</v>
      </c>
      <c r="CA141">
        <v>63</v>
      </c>
      <c r="CE141">
        <v>0</v>
      </c>
      <c r="CF141">
        <v>0</v>
      </c>
      <c r="CG141">
        <v>0</v>
      </c>
      <c r="CM141">
        <v>0</v>
      </c>
      <c r="CN141" t="s">
        <v>6</v>
      </c>
      <c r="CO141">
        <v>0</v>
      </c>
      <c r="CP141">
        <f t="shared" si="132"/>
        <v>0</v>
      </c>
      <c r="CQ141">
        <f t="shared" si="133"/>
        <v>0</v>
      </c>
      <c r="CR141">
        <f t="shared" si="134"/>
        <v>0</v>
      </c>
      <c r="CS141">
        <f t="shared" si="135"/>
        <v>0</v>
      </c>
      <c r="CT141">
        <f t="shared" si="136"/>
        <v>0</v>
      </c>
      <c r="CU141">
        <f t="shared" si="137"/>
        <v>0</v>
      </c>
      <c r="CV141">
        <f t="shared" si="138"/>
        <v>0</v>
      </c>
      <c r="CW141">
        <f t="shared" si="139"/>
        <v>0</v>
      </c>
      <c r="CX141">
        <f t="shared" si="140"/>
        <v>0</v>
      </c>
      <c r="CY141">
        <f t="shared" si="141"/>
        <v>0</v>
      </c>
      <c r="CZ141">
        <f t="shared" si="142"/>
        <v>0</v>
      </c>
      <c r="DC141" t="s">
        <v>6</v>
      </c>
      <c r="DD141" t="s">
        <v>6</v>
      </c>
      <c r="DE141" t="s">
        <v>6</v>
      </c>
      <c r="DF141" t="s">
        <v>6</v>
      </c>
      <c r="DG141" t="s">
        <v>6</v>
      </c>
      <c r="DH141" t="s">
        <v>6</v>
      </c>
      <c r="DI141" t="s">
        <v>6</v>
      </c>
      <c r="DJ141" t="s">
        <v>6</v>
      </c>
      <c r="DK141" t="s">
        <v>6</v>
      </c>
      <c r="DL141" t="s">
        <v>6</v>
      </c>
      <c r="DM141" t="s">
        <v>6</v>
      </c>
      <c r="DN141">
        <v>0</v>
      </c>
      <c r="DO141">
        <v>0</v>
      </c>
      <c r="DP141">
        <v>1</v>
      </c>
      <c r="DQ141">
        <v>1</v>
      </c>
      <c r="DU141">
        <v>1003</v>
      </c>
      <c r="DV141" t="s">
        <v>202</v>
      </c>
      <c r="DW141" t="s">
        <v>202</v>
      </c>
      <c r="DX141">
        <v>1</v>
      </c>
      <c r="EE141">
        <v>16510487</v>
      </c>
      <c r="EF141">
        <v>2</v>
      </c>
      <c r="EG141" t="s">
        <v>20</v>
      </c>
      <c r="EH141">
        <v>0</v>
      </c>
      <c r="EI141" t="s">
        <v>6</v>
      </c>
      <c r="EJ141">
        <v>1</v>
      </c>
      <c r="EK141">
        <v>10001</v>
      </c>
      <c r="EL141" t="s">
        <v>176</v>
      </c>
      <c r="EM141" t="s">
        <v>177</v>
      </c>
      <c r="EO141" t="s">
        <v>6</v>
      </c>
      <c r="EQ141">
        <v>0</v>
      </c>
      <c r="ER141">
        <v>0</v>
      </c>
      <c r="ES141">
        <v>0</v>
      </c>
      <c r="ET141">
        <v>0</v>
      </c>
      <c r="EU141">
        <v>0</v>
      </c>
      <c r="EV141">
        <v>0</v>
      </c>
      <c r="EW141">
        <v>0</v>
      </c>
      <c r="EX141">
        <v>0</v>
      </c>
      <c r="FQ141">
        <v>0</v>
      </c>
      <c r="FR141">
        <f t="shared" si="143"/>
        <v>0</v>
      </c>
      <c r="FS141">
        <v>0</v>
      </c>
      <c r="FT141" t="s">
        <v>23</v>
      </c>
      <c r="FU141" t="s">
        <v>24</v>
      </c>
      <c r="FX141">
        <v>106.2</v>
      </c>
      <c r="FY141">
        <v>53.55</v>
      </c>
      <c r="GA141" t="s">
        <v>6</v>
      </c>
      <c r="GD141">
        <v>0</v>
      </c>
      <c r="GF141">
        <v>-543280927</v>
      </c>
      <c r="GG141">
        <v>1</v>
      </c>
      <c r="GH141">
        <v>1</v>
      </c>
      <c r="GI141">
        <v>4</v>
      </c>
      <c r="GJ141">
        <v>0</v>
      </c>
      <c r="GK141">
        <f>ROUND(R141*(R12)/100,2)</f>
        <v>0</v>
      </c>
      <c r="GL141">
        <f t="shared" si="144"/>
        <v>0</v>
      </c>
      <c r="GM141">
        <f t="shared" si="145"/>
        <v>0</v>
      </c>
      <c r="GN141">
        <f t="shared" si="146"/>
        <v>0</v>
      </c>
      <c r="GO141">
        <f t="shared" si="147"/>
        <v>0</v>
      </c>
      <c r="GP141">
        <f t="shared" si="148"/>
        <v>0</v>
      </c>
      <c r="GR141">
        <v>0</v>
      </c>
      <c r="GS141">
        <v>3</v>
      </c>
      <c r="GT141">
        <v>0</v>
      </c>
      <c r="GU141" t="s">
        <v>6</v>
      </c>
      <c r="GV141">
        <f t="shared" si="149"/>
        <v>0</v>
      </c>
      <c r="GW141">
        <v>1</v>
      </c>
      <c r="GX141">
        <f t="shared" si="150"/>
        <v>0</v>
      </c>
      <c r="HA141">
        <v>0</v>
      </c>
      <c r="HB141">
        <v>0</v>
      </c>
      <c r="HC141">
        <f t="shared" si="151"/>
        <v>0</v>
      </c>
      <c r="IK141">
        <v>0</v>
      </c>
    </row>
    <row r="142" spans="1:245" x14ac:dyDescent="0.2">
      <c r="A142">
        <v>18</v>
      </c>
      <c r="B142">
        <v>1</v>
      </c>
      <c r="C142">
        <v>214</v>
      </c>
      <c r="E142" t="s">
        <v>398</v>
      </c>
      <c r="F142" t="s">
        <v>399</v>
      </c>
      <c r="G142" t="s">
        <v>400</v>
      </c>
      <c r="H142" t="s">
        <v>202</v>
      </c>
      <c r="I142">
        <f>I136*J142</f>
        <v>4.5599999999999996</v>
      </c>
      <c r="J142">
        <v>76</v>
      </c>
      <c r="O142">
        <f t="shared" si="117"/>
        <v>188.48</v>
      </c>
      <c r="P142">
        <f t="shared" si="118"/>
        <v>188.48</v>
      </c>
      <c r="Q142">
        <f t="shared" si="119"/>
        <v>0</v>
      </c>
      <c r="R142">
        <f t="shared" si="120"/>
        <v>0</v>
      </c>
      <c r="S142">
        <f t="shared" si="121"/>
        <v>0</v>
      </c>
      <c r="T142">
        <f t="shared" si="122"/>
        <v>0</v>
      </c>
      <c r="U142">
        <f t="shared" si="123"/>
        <v>0</v>
      </c>
      <c r="V142">
        <f t="shared" si="124"/>
        <v>0</v>
      </c>
      <c r="W142">
        <f t="shared" si="125"/>
        <v>0</v>
      </c>
      <c r="X142">
        <f t="shared" si="126"/>
        <v>0</v>
      </c>
      <c r="Y142">
        <f t="shared" si="127"/>
        <v>0</v>
      </c>
      <c r="AA142">
        <v>16808636</v>
      </c>
      <c r="AB142">
        <f t="shared" si="128"/>
        <v>6.16</v>
      </c>
      <c r="AC142">
        <f t="shared" si="129"/>
        <v>6.16</v>
      </c>
      <c r="AD142">
        <f t="shared" si="161"/>
        <v>0</v>
      </c>
      <c r="AE142">
        <f t="shared" si="162"/>
        <v>0</v>
      </c>
      <c r="AF142">
        <f t="shared" si="163"/>
        <v>0</v>
      </c>
      <c r="AG142">
        <f t="shared" si="130"/>
        <v>0</v>
      </c>
      <c r="AH142">
        <f t="shared" si="164"/>
        <v>0</v>
      </c>
      <c r="AI142">
        <f t="shared" si="165"/>
        <v>0</v>
      </c>
      <c r="AJ142">
        <f t="shared" si="131"/>
        <v>0</v>
      </c>
      <c r="AK142">
        <v>6.16</v>
      </c>
      <c r="AL142">
        <v>6.16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106</v>
      </c>
      <c r="AU142">
        <v>54</v>
      </c>
      <c r="AV142">
        <v>1</v>
      </c>
      <c r="AW142">
        <v>1</v>
      </c>
      <c r="AZ142">
        <v>6.71</v>
      </c>
      <c r="BA142">
        <v>1</v>
      </c>
      <c r="BB142">
        <v>1</v>
      </c>
      <c r="BC142">
        <v>6.71</v>
      </c>
      <c r="BD142" t="s">
        <v>6</v>
      </c>
      <c r="BE142" t="s">
        <v>6</v>
      </c>
      <c r="BF142" t="s">
        <v>6</v>
      </c>
      <c r="BG142" t="s">
        <v>6</v>
      </c>
      <c r="BH142">
        <v>3</v>
      </c>
      <c r="BI142">
        <v>1</v>
      </c>
      <c r="BJ142" t="s">
        <v>401</v>
      </c>
      <c r="BM142">
        <v>10001</v>
      </c>
      <c r="BN142">
        <v>0</v>
      </c>
      <c r="BO142" t="s">
        <v>6</v>
      </c>
      <c r="BP142">
        <v>0</v>
      </c>
      <c r="BQ142">
        <v>2</v>
      </c>
      <c r="BR142">
        <v>0</v>
      </c>
      <c r="BS142">
        <v>1</v>
      </c>
      <c r="BT142">
        <v>1</v>
      </c>
      <c r="BU142">
        <v>1</v>
      </c>
      <c r="BV142">
        <v>1</v>
      </c>
      <c r="BW142">
        <v>1</v>
      </c>
      <c r="BX142">
        <v>1</v>
      </c>
      <c r="BY142" t="s">
        <v>6</v>
      </c>
      <c r="BZ142">
        <v>118</v>
      </c>
      <c r="CA142">
        <v>63</v>
      </c>
      <c r="CE142">
        <v>0</v>
      </c>
      <c r="CF142">
        <v>0</v>
      </c>
      <c r="CG142">
        <v>0</v>
      </c>
      <c r="CM142">
        <v>0</v>
      </c>
      <c r="CN142" t="s">
        <v>6</v>
      </c>
      <c r="CO142">
        <v>0</v>
      </c>
      <c r="CP142">
        <f t="shared" si="132"/>
        <v>188.48</v>
      </c>
      <c r="CQ142">
        <f t="shared" si="133"/>
        <v>41.333600000000004</v>
      </c>
      <c r="CR142">
        <f t="shared" si="134"/>
        <v>0</v>
      </c>
      <c r="CS142">
        <f t="shared" si="135"/>
        <v>0</v>
      </c>
      <c r="CT142">
        <f t="shared" si="136"/>
        <v>0</v>
      </c>
      <c r="CU142">
        <f t="shared" si="137"/>
        <v>0</v>
      </c>
      <c r="CV142">
        <f t="shared" si="138"/>
        <v>0</v>
      </c>
      <c r="CW142">
        <f t="shared" si="139"/>
        <v>0</v>
      </c>
      <c r="CX142">
        <f t="shared" si="140"/>
        <v>0</v>
      </c>
      <c r="CY142">
        <f t="shared" si="141"/>
        <v>0</v>
      </c>
      <c r="CZ142">
        <f t="shared" si="142"/>
        <v>0</v>
      </c>
      <c r="DC142" t="s">
        <v>6</v>
      </c>
      <c r="DD142" t="s">
        <v>6</v>
      </c>
      <c r="DE142" t="s">
        <v>6</v>
      </c>
      <c r="DF142" t="s">
        <v>6</v>
      </c>
      <c r="DG142" t="s">
        <v>6</v>
      </c>
      <c r="DH142" t="s">
        <v>6</v>
      </c>
      <c r="DI142" t="s">
        <v>6</v>
      </c>
      <c r="DJ142" t="s">
        <v>6</v>
      </c>
      <c r="DK142" t="s">
        <v>6</v>
      </c>
      <c r="DL142" t="s">
        <v>6</v>
      </c>
      <c r="DM142" t="s">
        <v>6</v>
      </c>
      <c r="DN142">
        <v>0</v>
      </c>
      <c r="DO142">
        <v>0</v>
      </c>
      <c r="DP142">
        <v>1</v>
      </c>
      <c r="DQ142">
        <v>1</v>
      </c>
      <c r="DU142">
        <v>1003</v>
      </c>
      <c r="DV142" t="s">
        <v>202</v>
      </c>
      <c r="DW142" t="s">
        <v>202</v>
      </c>
      <c r="DX142">
        <v>1</v>
      </c>
      <c r="EE142">
        <v>16510487</v>
      </c>
      <c r="EF142">
        <v>2</v>
      </c>
      <c r="EG142" t="s">
        <v>20</v>
      </c>
      <c r="EH142">
        <v>0</v>
      </c>
      <c r="EI142" t="s">
        <v>6</v>
      </c>
      <c r="EJ142">
        <v>1</v>
      </c>
      <c r="EK142">
        <v>10001</v>
      </c>
      <c r="EL142" t="s">
        <v>176</v>
      </c>
      <c r="EM142" t="s">
        <v>177</v>
      </c>
      <c r="EO142" t="s">
        <v>6</v>
      </c>
      <c r="EQ142">
        <v>0</v>
      </c>
      <c r="ER142">
        <v>6.16</v>
      </c>
      <c r="ES142">
        <v>6.16</v>
      </c>
      <c r="ET142">
        <v>0</v>
      </c>
      <c r="EU142">
        <v>0</v>
      </c>
      <c r="EV142">
        <v>0</v>
      </c>
      <c r="EW142">
        <v>0</v>
      </c>
      <c r="EX142">
        <v>0</v>
      </c>
      <c r="FQ142">
        <v>0</v>
      </c>
      <c r="FR142">
        <f t="shared" si="143"/>
        <v>0</v>
      </c>
      <c r="FS142">
        <v>0</v>
      </c>
      <c r="FT142" t="s">
        <v>23</v>
      </c>
      <c r="FU142" t="s">
        <v>24</v>
      </c>
      <c r="FX142">
        <v>106.2</v>
      </c>
      <c r="FY142">
        <v>53.55</v>
      </c>
      <c r="GA142" t="s">
        <v>6</v>
      </c>
      <c r="GD142">
        <v>0</v>
      </c>
      <c r="GF142">
        <v>109987078</v>
      </c>
      <c r="GG142">
        <v>1</v>
      </c>
      <c r="GH142">
        <v>1</v>
      </c>
      <c r="GI142">
        <v>4</v>
      </c>
      <c r="GJ142">
        <v>0</v>
      </c>
      <c r="GK142">
        <f>ROUND(R142*(R12)/100,2)</f>
        <v>0</v>
      </c>
      <c r="GL142">
        <f t="shared" si="144"/>
        <v>0</v>
      </c>
      <c r="GM142">
        <f t="shared" si="145"/>
        <v>188.48</v>
      </c>
      <c r="GN142">
        <f t="shared" si="146"/>
        <v>188.48</v>
      </c>
      <c r="GO142">
        <f t="shared" si="147"/>
        <v>0</v>
      </c>
      <c r="GP142">
        <f t="shared" si="148"/>
        <v>0</v>
      </c>
      <c r="GR142">
        <v>0</v>
      </c>
      <c r="GS142">
        <v>3</v>
      </c>
      <c r="GT142">
        <v>0</v>
      </c>
      <c r="GU142" t="s">
        <v>6</v>
      </c>
      <c r="GV142">
        <f t="shared" si="149"/>
        <v>0</v>
      </c>
      <c r="GW142">
        <v>1</v>
      </c>
      <c r="GX142">
        <f t="shared" si="150"/>
        <v>0</v>
      </c>
      <c r="HA142">
        <v>0</v>
      </c>
      <c r="HB142">
        <v>0</v>
      </c>
      <c r="HC142">
        <f t="shared" si="151"/>
        <v>0</v>
      </c>
      <c r="IK142">
        <v>0</v>
      </c>
    </row>
    <row r="143" spans="1:245" x14ac:dyDescent="0.2">
      <c r="A143">
        <v>18</v>
      </c>
      <c r="B143">
        <v>1</v>
      </c>
      <c r="C143">
        <v>215</v>
      </c>
      <c r="E143" t="s">
        <v>402</v>
      </c>
      <c r="F143" t="s">
        <v>403</v>
      </c>
      <c r="G143" t="s">
        <v>404</v>
      </c>
      <c r="H143" t="s">
        <v>202</v>
      </c>
      <c r="I143">
        <f>I136*J143</f>
        <v>12.24</v>
      </c>
      <c r="J143">
        <v>204</v>
      </c>
      <c r="O143">
        <f t="shared" ref="O143:O148" si="166">ROUND(CP143,2)</f>
        <v>413.12</v>
      </c>
      <c r="P143">
        <f t="shared" ref="P143:P148" si="167">ROUND(CQ143*I143,2)</f>
        <v>413.12</v>
      </c>
      <c r="Q143">
        <f t="shared" ref="Q143:Q148" si="168">ROUND(CR143*I143,2)</f>
        <v>0</v>
      </c>
      <c r="R143">
        <f t="shared" ref="R143:R148" si="169">ROUND(CS143*I143,2)</f>
        <v>0</v>
      </c>
      <c r="S143">
        <f t="shared" ref="S143:S148" si="170">ROUND(CT143*I143,2)</f>
        <v>0</v>
      </c>
      <c r="T143">
        <f t="shared" ref="T143:T148" si="171">ROUND(CU143*I143,2)</f>
        <v>0</v>
      </c>
      <c r="U143">
        <f t="shared" ref="U143:U148" si="172">CV143*I143</f>
        <v>0</v>
      </c>
      <c r="V143">
        <f t="shared" ref="V143:V148" si="173">CW143*I143</f>
        <v>0</v>
      </c>
      <c r="W143">
        <f t="shared" ref="W143:W148" si="174">ROUND(CX143*I143,2)</f>
        <v>0</v>
      </c>
      <c r="X143">
        <f t="shared" ref="X143:X148" si="175">ROUND(CY143,2)</f>
        <v>0</v>
      </c>
      <c r="Y143">
        <f t="shared" ref="Y143:Y148" si="176">ROUND(CZ143,2)</f>
        <v>0</v>
      </c>
      <c r="AA143">
        <v>16808636</v>
      </c>
      <c r="AB143">
        <f t="shared" ref="AB143:AB148" si="177">ROUND((AC143+AD143+AF143),2)</f>
        <v>5.03</v>
      </c>
      <c r="AC143">
        <f t="shared" ref="AC143:AC148" si="178">ROUND((ES143),2)</f>
        <v>5.03</v>
      </c>
      <c r="AD143">
        <f t="shared" si="161"/>
        <v>0</v>
      </c>
      <c r="AE143">
        <f t="shared" si="162"/>
        <v>0</v>
      </c>
      <c r="AF143">
        <f t="shared" si="163"/>
        <v>0</v>
      </c>
      <c r="AG143">
        <f t="shared" ref="AG143:AG148" si="179">ROUND((AP143),2)</f>
        <v>0</v>
      </c>
      <c r="AH143">
        <f t="shared" si="164"/>
        <v>0</v>
      </c>
      <c r="AI143">
        <f t="shared" si="165"/>
        <v>0</v>
      </c>
      <c r="AJ143">
        <f t="shared" ref="AJ143:AJ148" si="180">(AS143)</f>
        <v>0</v>
      </c>
      <c r="AK143">
        <v>5.03</v>
      </c>
      <c r="AL143">
        <v>5.03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106</v>
      </c>
      <c r="AU143">
        <v>54</v>
      </c>
      <c r="AV143">
        <v>1</v>
      </c>
      <c r="AW143">
        <v>1</v>
      </c>
      <c r="AZ143">
        <v>6.71</v>
      </c>
      <c r="BA143">
        <v>1</v>
      </c>
      <c r="BB143">
        <v>1</v>
      </c>
      <c r="BC143">
        <v>6.71</v>
      </c>
      <c r="BD143" t="s">
        <v>6</v>
      </c>
      <c r="BE143" t="s">
        <v>6</v>
      </c>
      <c r="BF143" t="s">
        <v>6</v>
      </c>
      <c r="BG143" t="s">
        <v>6</v>
      </c>
      <c r="BH143">
        <v>3</v>
      </c>
      <c r="BI143">
        <v>1</v>
      </c>
      <c r="BJ143" t="s">
        <v>405</v>
      </c>
      <c r="BM143">
        <v>10001</v>
      </c>
      <c r="BN143">
        <v>0</v>
      </c>
      <c r="BO143" t="s">
        <v>6</v>
      </c>
      <c r="BP143">
        <v>0</v>
      </c>
      <c r="BQ143">
        <v>2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6</v>
      </c>
      <c r="BZ143">
        <v>118</v>
      </c>
      <c r="CA143">
        <v>63</v>
      </c>
      <c r="CE143">
        <v>0</v>
      </c>
      <c r="CF143">
        <v>0</v>
      </c>
      <c r="CG143">
        <v>0</v>
      </c>
      <c r="CM143">
        <v>0</v>
      </c>
      <c r="CN143" t="s">
        <v>6</v>
      </c>
      <c r="CO143">
        <v>0</v>
      </c>
      <c r="CP143">
        <f t="shared" ref="CP143:CP148" si="181">(P143+Q143+S143)</f>
        <v>413.12</v>
      </c>
      <c r="CQ143">
        <f t="shared" ref="CQ143:CQ148" si="182">AC143*BC143</f>
        <v>33.751300000000001</v>
      </c>
      <c r="CR143">
        <f t="shared" ref="CR143:CR148" si="183">AD143*BB143</f>
        <v>0</v>
      </c>
      <c r="CS143">
        <f t="shared" ref="CS143:CS148" si="184">AE143*BS143</f>
        <v>0</v>
      </c>
      <c r="CT143">
        <f t="shared" ref="CT143:CT148" si="185">AF143*BA143</f>
        <v>0</v>
      </c>
      <c r="CU143">
        <f t="shared" ref="CU143:CU148" si="186">AG143</f>
        <v>0</v>
      </c>
      <c r="CV143">
        <f t="shared" ref="CV143:CV148" si="187">AH143</f>
        <v>0</v>
      </c>
      <c r="CW143">
        <f t="shared" ref="CW143:CW148" si="188">AI143</f>
        <v>0</v>
      </c>
      <c r="CX143">
        <f t="shared" ref="CX143:CX148" si="189">AJ143</f>
        <v>0</v>
      </c>
      <c r="CY143">
        <f t="shared" ref="CY143:CY148" si="190">(((S143+R143)*AT143)/100)</f>
        <v>0</v>
      </c>
      <c r="CZ143">
        <f t="shared" ref="CZ143:CZ148" si="191">(((S143+R143)*AU143)/100)</f>
        <v>0</v>
      </c>
      <c r="DC143" t="s">
        <v>6</v>
      </c>
      <c r="DD143" t="s">
        <v>6</v>
      </c>
      <c r="DE143" t="s">
        <v>6</v>
      </c>
      <c r="DF143" t="s">
        <v>6</v>
      </c>
      <c r="DG143" t="s">
        <v>6</v>
      </c>
      <c r="DH143" t="s">
        <v>6</v>
      </c>
      <c r="DI143" t="s">
        <v>6</v>
      </c>
      <c r="DJ143" t="s">
        <v>6</v>
      </c>
      <c r="DK143" t="s">
        <v>6</v>
      </c>
      <c r="DL143" t="s">
        <v>6</v>
      </c>
      <c r="DM143" t="s">
        <v>6</v>
      </c>
      <c r="DN143">
        <v>0</v>
      </c>
      <c r="DO143">
        <v>0</v>
      </c>
      <c r="DP143">
        <v>1</v>
      </c>
      <c r="DQ143">
        <v>1</v>
      </c>
      <c r="DU143">
        <v>1003</v>
      </c>
      <c r="DV143" t="s">
        <v>202</v>
      </c>
      <c r="DW143" t="s">
        <v>202</v>
      </c>
      <c r="DX143">
        <v>1</v>
      </c>
      <c r="EE143">
        <v>16510487</v>
      </c>
      <c r="EF143">
        <v>2</v>
      </c>
      <c r="EG143" t="s">
        <v>20</v>
      </c>
      <c r="EH143">
        <v>0</v>
      </c>
      <c r="EI143" t="s">
        <v>6</v>
      </c>
      <c r="EJ143">
        <v>1</v>
      </c>
      <c r="EK143">
        <v>10001</v>
      </c>
      <c r="EL143" t="s">
        <v>176</v>
      </c>
      <c r="EM143" t="s">
        <v>177</v>
      </c>
      <c r="EO143" t="s">
        <v>6</v>
      </c>
      <c r="EQ143">
        <v>0</v>
      </c>
      <c r="ER143">
        <v>5.03</v>
      </c>
      <c r="ES143">
        <v>5.03</v>
      </c>
      <c r="ET143">
        <v>0</v>
      </c>
      <c r="EU143">
        <v>0</v>
      </c>
      <c r="EV143">
        <v>0</v>
      </c>
      <c r="EW143">
        <v>0</v>
      </c>
      <c r="EX143">
        <v>0</v>
      </c>
      <c r="FQ143">
        <v>0</v>
      </c>
      <c r="FR143">
        <f t="shared" ref="FR143:FR150" si="192">ROUND(IF(AND(BH143=3,BI143=3),P143,0),2)</f>
        <v>0</v>
      </c>
      <c r="FS143">
        <v>0</v>
      </c>
      <c r="FT143" t="s">
        <v>23</v>
      </c>
      <c r="FU143" t="s">
        <v>24</v>
      </c>
      <c r="FX143">
        <v>106.2</v>
      </c>
      <c r="FY143">
        <v>53.55</v>
      </c>
      <c r="GA143" t="s">
        <v>6</v>
      </c>
      <c r="GD143">
        <v>0</v>
      </c>
      <c r="GF143">
        <v>-1691503815</v>
      </c>
      <c r="GG143">
        <v>1</v>
      </c>
      <c r="GH143">
        <v>1</v>
      </c>
      <c r="GI143">
        <v>4</v>
      </c>
      <c r="GJ143">
        <v>0</v>
      </c>
      <c r="GK143">
        <f>ROUND(R143*(R12)/100,2)</f>
        <v>0</v>
      </c>
      <c r="GL143">
        <f t="shared" ref="GL143:GL150" si="193">ROUND(IF(AND(BH143=3,BI143=3,FS143&lt;&gt;0),P143,0),2)</f>
        <v>0</v>
      </c>
      <c r="GM143">
        <f t="shared" ref="GM143:GM148" si="194">ROUND(O143+X143+Y143+GK143,2)+GX143</f>
        <v>413.12</v>
      </c>
      <c r="GN143">
        <f t="shared" ref="GN143:GN148" si="195">IF(OR(BI143=0,BI143=1),ROUND(O143+X143+Y143+GK143,2),0)</f>
        <v>413.12</v>
      </c>
      <c r="GO143">
        <f t="shared" ref="GO143:GO148" si="196">IF(BI143=2,ROUND(O143+X143+Y143+GK143,2),0)</f>
        <v>0</v>
      </c>
      <c r="GP143">
        <f t="shared" ref="GP143:GP148" si="197">IF(BI143=4,ROUND(O143+X143+Y143+GK143,2)+GX143,0)</f>
        <v>0</v>
      </c>
      <c r="GR143">
        <v>0</v>
      </c>
      <c r="GS143">
        <v>3</v>
      </c>
      <c r="GT143">
        <v>0</v>
      </c>
      <c r="GU143" t="s">
        <v>6</v>
      </c>
      <c r="GV143">
        <f t="shared" ref="GV143:GV148" si="198">ROUND((GT143),2)</f>
        <v>0</v>
      </c>
      <c r="GW143">
        <v>1</v>
      </c>
      <c r="GX143">
        <f t="shared" ref="GX143:GX148" si="199">ROUND(HC143*I143,2)</f>
        <v>0</v>
      </c>
      <c r="HA143">
        <v>0</v>
      </c>
      <c r="HB143">
        <v>0</v>
      </c>
      <c r="HC143">
        <f t="shared" ref="HC143:HC148" si="200">GV143*GW143</f>
        <v>0</v>
      </c>
      <c r="IK143">
        <v>0</v>
      </c>
    </row>
    <row r="144" spans="1:245" x14ac:dyDescent="0.2">
      <c r="A144">
        <v>18</v>
      </c>
      <c r="B144">
        <v>1</v>
      </c>
      <c r="C144">
        <v>213</v>
      </c>
      <c r="E144" t="s">
        <v>406</v>
      </c>
      <c r="F144" t="s">
        <v>396</v>
      </c>
      <c r="G144" t="s">
        <v>407</v>
      </c>
      <c r="H144" t="s">
        <v>202</v>
      </c>
      <c r="I144">
        <f>I136*J144</f>
        <v>12.24</v>
      </c>
      <c r="J144">
        <v>204</v>
      </c>
      <c r="O144">
        <f t="shared" si="166"/>
        <v>0</v>
      </c>
      <c r="P144">
        <f t="shared" si="167"/>
        <v>0</v>
      </c>
      <c r="Q144">
        <f t="shared" si="168"/>
        <v>0</v>
      </c>
      <c r="R144">
        <f t="shared" si="169"/>
        <v>0</v>
      </c>
      <c r="S144">
        <f t="shared" si="170"/>
        <v>0</v>
      </c>
      <c r="T144">
        <f t="shared" si="171"/>
        <v>0</v>
      </c>
      <c r="U144">
        <f t="shared" si="172"/>
        <v>0</v>
      </c>
      <c r="V144">
        <f t="shared" si="173"/>
        <v>0</v>
      </c>
      <c r="W144">
        <f t="shared" si="174"/>
        <v>0</v>
      </c>
      <c r="X144">
        <f t="shared" si="175"/>
        <v>0</v>
      </c>
      <c r="Y144">
        <f t="shared" si="176"/>
        <v>0</v>
      </c>
      <c r="AA144">
        <v>16808636</v>
      </c>
      <c r="AB144">
        <f t="shared" si="177"/>
        <v>0</v>
      </c>
      <c r="AC144">
        <f t="shared" si="178"/>
        <v>0</v>
      </c>
      <c r="AD144">
        <f t="shared" si="161"/>
        <v>0</v>
      </c>
      <c r="AE144">
        <f t="shared" si="162"/>
        <v>0</v>
      </c>
      <c r="AF144">
        <f t="shared" si="163"/>
        <v>0</v>
      </c>
      <c r="AG144">
        <f t="shared" si="179"/>
        <v>0</v>
      </c>
      <c r="AH144">
        <f t="shared" si="164"/>
        <v>0</v>
      </c>
      <c r="AI144">
        <f t="shared" si="165"/>
        <v>0</v>
      </c>
      <c r="AJ144">
        <f t="shared" si="180"/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106</v>
      </c>
      <c r="AU144">
        <v>54</v>
      </c>
      <c r="AV144">
        <v>1</v>
      </c>
      <c r="AW144">
        <v>1</v>
      </c>
      <c r="AZ144">
        <v>6.71</v>
      </c>
      <c r="BA144">
        <v>1</v>
      </c>
      <c r="BB144">
        <v>1</v>
      </c>
      <c r="BC144">
        <v>6.71</v>
      </c>
      <c r="BD144" t="s">
        <v>6</v>
      </c>
      <c r="BE144" t="s">
        <v>6</v>
      </c>
      <c r="BF144" t="s">
        <v>6</v>
      </c>
      <c r="BG144" t="s">
        <v>6</v>
      </c>
      <c r="BH144">
        <v>3</v>
      </c>
      <c r="BI144">
        <v>1</v>
      </c>
      <c r="BJ144" t="s">
        <v>6</v>
      </c>
      <c r="BM144">
        <v>10001</v>
      </c>
      <c r="BN144">
        <v>0</v>
      </c>
      <c r="BO144" t="s">
        <v>6</v>
      </c>
      <c r="BP144">
        <v>0</v>
      </c>
      <c r="BQ144">
        <v>2</v>
      </c>
      <c r="BR144">
        <v>0</v>
      </c>
      <c r="BS144">
        <v>1</v>
      </c>
      <c r="BT144">
        <v>1</v>
      </c>
      <c r="BU144">
        <v>1</v>
      </c>
      <c r="BV144">
        <v>1</v>
      </c>
      <c r="BW144">
        <v>1</v>
      </c>
      <c r="BX144">
        <v>1</v>
      </c>
      <c r="BY144" t="s">
        <v>6</v>
      </c>
      <c r="BZ144">
        <v>118</v>
      </c>
      <c r="CA144">
        <v>63</v>
      </c>
      <c r="CE144">
        <v>0</v>
      </c>
      <c r="CF144">
        <v>0</v>
      </c>
      <c r="CG144">
        <v>0</v>
      </c>
      <c r="CM144">
        <v>0</v>
      </c>
      <c r="CN144" t="s">
        <v>6</v>
      </c>
      <c r="CO144">
        <v>0</v>
      </c>
      <c r="CP144">
        <f t="shared" si="181"/>
        <v>0</v>
      </c>
      <c r="CQ144">
        <f t="shared" si="182"/>
        <v>0</v>
      </c>
      <c r="CR144">
        <f t="shared" si="183"/>
        <v>0</v>
      </c>
      <c r="CS144">
        <f t="shared" si="184"/>
        <v>0</v>
      </c>
      <c r="CT144">
        <f t="shared" si="185"/>
        <v>0</v>
      </c>
      <c r="CU144">
        <f t="shared" si="186"/>
        <v>0</v>
      </c>
      <c r="CV144">
        <f t="shared" si="187"/>
        <v>0</v>
      </c>
      <c r="CW144">
        <f t="shared" si="188"/>
        <v>0</v>
      </c>
      <c r="CX144">
        <f t="shared" si="189"/>
        <v>0</v>
      </c>
      <c r="CY144">
        <f t="shared" si="190"/>
        <v>0</v>
      </c>
      <c r="CZ144">
        <f t="shared" si="191"/>
        <v>0</v>
      </c>
      <c r="DC144" t="s">
        <v>6</v>
      </c>
      <c r="DD144" t="s">
        <v>6</v>
      </c>
      <c r="DE144" t="s">
        <v>6</v>
      </c>
      <c r="DF144" t="s">
        <v>6</v>
      </c>
      <c r="DG144" t="s">
        <v>6</v>
      </c>
      <c r="DH144" t="s">
        <v>6</v>
      </c>
      <c r="DI144" t="s">
        <v>6</v>
      </c>
      <c r="DJ144" t="s">
        <v>6</v>
      </c>
      <c r="DK144" t="s">
        <v>6</v>
      </c>
      <c r="DL144" t="s">
        <v>6</v>
      </c>
      <c r="DM144" t="s">
        <v>6</v>
      </c>
      <c r="DN144">
        <v>0</v>
      </c>
      <c r="DO144">
        <v>0</v>
      </c>
      <c r="DP144">
        <v>1</v>
      </c>
      <c r="DQ144">
        <v>1</v>
      </c>
      <c r="DU144">
        <v>1003</v>
      </c>
      <c r="DV144" t="s">
        <v>202</v>
      </c>
      <c r="DW144" t="s">
        <v>202</v>
      </c>
      <c r="DX144">
        <v>1</v>
      </c>
      <c r="EE144">
        <v>16510487</v>
      </c>
      <c r="EF144">
        <v>2</v>
      </c>
      <c r="EG144" t="s">
        <v>20</v>
      </c>
      <c r="EH144">
        <v>0</v>
      </c>
      <c r="EI144" t="s">
        <v>6</v>
      </c>
      <c r="EJ144">
        <v>1</v>
      </c>
      <c r="EK144">
        <v>10001</v>
      </c>
      <c r="EL144" t="s">
        <v>176</v>
      </c>
      <c r="EM144" t="s">
        <v>177</v>
      </c>
      <c r="EO144" t="s">
        <v>6</v>
      </c>
      <c r="EQ144">
        <v>0</v>
      </c>
      <c r="ER144">
        <v>0</v>
      </c>
      <c r="ES144">
        <v>0</v>
      </c>
      <c r="ET144">
        <v>0</v>
      </c>
      <c r="EU144">
        <v>0</v>
      </c>
      <c r="EV144">
        <v>0</v>
      </c>
      <c r="EW144">
        <v>0</v>
      </c>
      <c r="EX144">
        <v>0</v>
      </c>
      <c r="FQ144">
        <v>0</v>
      </c>
      <c r="FR144">
        <f t="shared" si="192"/>
        <v>0</v>
      </c>
      <c r="FS144">
        <v>0</v>
      </c>
      <c r="FT144" t="s">
        <v>23</v>
      </c>
      <c r="FU144" t="s">
        <v>24</v>
      </c>
      <c r="FX144">
        <v>106.2</v>
      </c>
      <c r="FY144">
        <v>53.55</v>
      </c>
      <c r="GA144" t="s">
        <v>6</v>
      </c>
      <c r="GD144">
        <v>0</v>
      </c>
      <c r="GF144">
        <v>-200649644</v>
      </c>
      <c r="GG144">
        <v>1</v>
      </c>
      <c r="GH144">
        <v>1</v>
      </c>
      <c r="GI144">
        <v>4</v>
      </c>
      <c r="GJ144">
        <v>0</v>
      </c>
      <c r="GK144">
        <f>ROUND(R144*(R12)/100,2)</f>
        <v>0</v>
      </c>
      <c r="GL144">
        <f t="shared" si="193"/>
        <v>0</v>
      </c>
      <c r="GM144">
        <f t="shared" si="194"/>
        <v>0</v>
      </c>
      <c r="GN144">
        <f t="shared" si="195"/>
        <v>0</v>
      </c>
      <c r="GO144">
        <f t="shared" si="196"/>
        <v>0</v>
      </c>
      <c r="GP144">
        <f t="shared" si="197"/>
        <v>0</v>
      </c>
      <c r="GR144">
        <v>0</v>
      </c>
      <c r="GS144">
        <v>3</v>
      </c>
      <c r="GT144">
        <v>0</v>
      </c>
      <c r="GU144" t="s">
        <v>6</v>
      </c>
      <c r="GV144">
        <f t="shared" si="198"/>
        <v>0</v>
      </c>
      <c r="GW144">
        <v>1</v>
      </c>
      <c r="GX144">
        <f t="shared" si="199"/>
        <v>0</v>
      </c>
      <c r="HA144">
        <v>0</v>
      </c>
      <c r="HB144">
        <v>0</v>
      </c>
      <c r="HC144">
        <f t="shared" si="200"/>
        <v>0</v>
      </c>
      <c r="IK144">
        <v>0</v>
      </c>
    </row>
    <row r="145" spans="1:245" x14ac:dyDescent="0.2">
      <c r="A145">
        <v>17</v>
      </c>
      <c r="B145">
        <v>1</v>
      </c>
      <c r="C145">
        <f>ROW(SmtRes!A225)</f>
        <v>225</v>
      </c>
      <c r="D145">
        <f>ROW(EtalonRes!A208)</f>
        <v>208</v>
      </c>
      <c r="E145" t="s">
        <v>408</v>
      </c>
      <c r="F145" t="s">
        <v>409</v>
      </c>
      <c r="G145" t="s">
        <v>410</v>
      </c>
      <c r="H145" t="s">
        <v>18</v>
      </c>
      <c r="I145">
        <f>ROUND(9.17/100,9)</f>
        <v>9.1700000000000004E-2</v>
      </c>
      <c r="J145">
        <v>0</v>
      </c>
      <c r="O145">
        <f t="shared" si="166"/>
        <v>449</v>
      </c>
      <c r="P145">
        <f t="shared" si="167"/>
        <v>93.98</v>
      </c>
      <c r="Q145">
        <f t="shared" si="168"/>
        <v>0.41</v>
      </c>
      <c r="R145">
        <f t="shared" si="169"/>
        <v>7.0000000000000007E-2</v>
      </c>
      <c r="S145">
        <f t="shared" si="170"/>
        <v>354.61</v>
      </c>
      <c r="T145">
        <f t="shared" si="171"/>
        <v>0</v>
      </c>
      <c r="U145">
        <f t="shared" si="172"/>
        <v>6.0466980000000001</v>
      </c>
      <c r="V145">
        <f t="shared" si="173"/>
        <v>9.1700000000000006E-4</v>
      </c>
      <c r="W145">
        <f t="shared" si="174"/>
        <v>0</v>
      </c>
      <c r="X145">
        <f t="shared" si="175"/>
        <v>283.74</v>
      </c>
      <c r="Y145">
        <f t="shared" si="176"/>
        <v>177.34</v>
      </c>
      <c r="AA145">
        <v>16808636</v>
      </c>
      <c r="AB145">
        <f t="shared" si="177"/>
        <v>729.71</v>
      </c>
      <c r="AC145">
        <f t="shared" si="178"/>
        <v>152.72999999999999</v>
      </c>
      <c r="AD145">
        <f t="shared" si="161"/>
        <v>0.66</v>
      </c>
      <c r="AE145">
        <f t="shared" si="162"/>
        <v>0.12</v>
      </c>
      <c r="AF145">
        <f t="shared" si="163"/>
        <v>576.32000000000005</v>
      </c>
      <c r="AG145">
        <f t="shared" si="179"/>
        <v>0</v>
      </c>
      <c r="AH145">
        <f t="shared" si="164"/>
        <v>65.94</v>
      </c>
      <c r="AI145">
        <f t="shared" si="165"/>
        <v>0.01</v>
      </c>
      <c r="AJ145">
        <f t="shared" si="180"/>
        <v>0</v>
      </c>
      <c r="AK145">
        <v>729.71</v>
      </c>
      <c r="AL145">
        <v>152.72999999999999</v>
      </c>
      <c r="AM145">
        <v>0.66</v>
      </c>
      <c r="AN145">
        <v>0.12</v>
      </c>
      <c r="AO145">
        <v>576.32000000000005</v>
      </c>
      <c r="AP145">
        <v>0</v>
      </c>
      <c r="AQ145">
        <v>65.94</v>
      </c>
      <c r="AR145">
        <v>0.01</v>
      </c>
      <c r="AS145">
        <v>0</v>
      </c>
      <c r="AT145">
        <v>80</v>
      </c>
      <c r="AU145">
        <v>50</v>
      </c>
      <c r="AV145">
        <v>1</v>
      </c>
      <c r="AW145">
        <v>1</v>
      </c>
      <c r="AZ145">
        <v>6.71</v>
      </c>
      <c r="BA145">
        <v>6.71</v>
      </c>
      <c r="BB145">
        <v>6.71</v>
      </c>
      <c r="BC145">
        <v>6.71</v>
      </c>
      <c r="BD145" t="s">
        <v>6</v>
      </c>
      <c r="BE145" t="s">
        <v>6</v>
      </c>
      <c r="BF145" t="s">
        <v>6</v>
      </c>
      <c r="BG145" t="s">
        <v>6</v>
      </c>
      <c r="BH145">
        <v>0</v>
      </c>
      <c r="BI145">
        <v>1</v>
      </c>
      <c r="BJ145" t="s">
        <v>411</v>
      </c>
      <c r="BM145">
        <v>62001</v>
      </c>
      <c r="BN145">
        <v>0</v>
      </c>
      <c r="BO145" t="s">
        <v>6</v>
      </c>
      <c r="BP145">
        <v>0</v>
      </c>
      <c r="BQ145">
        <v>6</v>
      </c>
      <c r="BR145">
        <v>0</v>
      </c>
      <c r="BS145">
        <v>6.71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6</v>
      </c>
      <c r="BZ145">
        <v>80</v>
      </c>
      <c r="CA145">
        <v>50</v>
      </c>
      <c r="CE145">
        <v>0</v>
      </c>
      <c r="CF145">
        <v>0</v>
      </c>
      <c r="CG145">
        <v>0</v>
      </c>
      <c r="CM145">
        <v>0</v>
      </c>
      <c r="CN145" t="s">
        <v>6</v>
      </c>
      <c r="CO145">
        <v>0</v>
      </c>
      <c r="CP145">
        <f t="shared" si="181"/>
        <v>449</v>
      </c>
      <c r="CQ145">
        <f t="shared" si="182"/>
        <v>1024.8182999999999</v>
      </c>
      <c r="CR145">
        <f t="shared" si="183"/>
        <v>4.4286000000000003</v>
      </c>
      <c r="CS145">
        <f t="shared" si="184"/>
        <v>0.80519999999999992</v>
      </c>
      <c r="CT145">
        <f t="shared" si="185"/>
        <v>3867.1072000000004</v>
      </c>
      <c r="CU145">
        <f t="shared" si="186"/>
        <v>0</v>
      </c>
      <c r="CV145">
        <f t="shared" si="187"/>
        <v>65.94</v>
      </c>
      <c r="CW145">
        <f t="shared" si="188"/>
        <v>0.01</v>
      </c>
      <c r="CX145">
        <f t="shared" si="189"/>
        <v>0</v>
      </c>
      <c r="CY145">
        <f t="shared" si="190"/>
        <v>283.74400000000003</v>
      </c>
      <c r="CZ145">
        <f t="shared" si="191"/>
        <v>177.34</v>
      </c>
      <c r="DC145" t="s">
        <v>6</v>
      </c>
      <c r="DD145" t="s">
        <v>6</v>
      </c>
      <c r="DE145" t="s">
        <v>6</v>
      </c>
      <c r="DF145" t="s">
        <v>6</v>
      </c>
      <c r="DG145" t="s">
        <v>6</v>
      </c>
      <c r="DH145" t="s">
        <v>6</v>
      </c>
      <c r="DI145" t="s">
        <v>6</v>
      </c>
      <c r="DJ145" t="s">
        <v>6</v>
      </c>
      <c r="DK145" t="s">
        <v>6</v>
      </c>
      <c r="DL145" t="s">
        <v>6</v>
      </c>
      <c r="DM145" t="s">
        <v>6</v>
      </c>
      <c r="DN145">
        <v>0</v>
      </c>
      <c r="DO145">
        <v>0</v>
      </c>
      <c r="DP145">
        <v>1</v>
      </c>
      <c r="DQ145">
        <v>1</v>
      </c>
      <c r="DU145">
        <v>1005</v>
      </c>
      <c r="DV145" t="s">
        <v>18</v>
      </c>
      <c r="DW145" t="s">
        <v>18</v>
      </c>
      <c r="DX145">
        <v>100</v>
      </c>
      <c r="EE145">
        <v>16510571</v>
      </c>
      <c r="EF145">
        <v>6</v>
      </c>
      <c r="EG145" t="s">
        <v>30</v>
      </c>
      <c r="EH145">
        <v>0</v>
      </c>
      <c r="EI145" t="s">
        <v>6</v>
      </c>
      <c r="EJ145">
        <v>1</v>
      </c>
      <c r="EK145">
        <v>62001</v>
      </c>
      <c r="EL145" t="s">
        <v>217</v>
      </c>
      <c r="EM145" t="s">
        <v>218</v>
      </c>
      <c r="EO145" t="s">
        <v>6</v>
      </c>
      <c r="EQ145">
        <v>0</v>
      </c>
      <c r="ER145">
        <v>729.71</v>
      </c>
      <c r="ES145">
        <v>152.72999999999999</v>
      </c>
      <c r="ET145">
        <v>0.66</v>
      </c>
      <c r="EU145">
        <v>0.12</v>
      </c>
      <c r="EV145">
        <v>576.32000000000005</v>
      </c>
      <c r="EW145">
        <v>65.94</v>
      </c>
      <c r="EX145">
        <v>0.01</v>
      </c>
      <c r="EY145">
        <v>0</v>
      </c>
      <c r="FQ145">
        <v>0</v>
      </c>
      <c r="FR145">
        <f t="shared" si="192"/>
        <v>0</v>
      </c>
      <c r="FS145">
        <v>0</v>
      </c>
      <c r="FX145">
        <v>80</v>
      </c>
      <c r="FY145">
        <v>50</v>
      </c>
      <c r="GA145" t="s">
        <v>6</v>
      </c>
      <c r="GD145">
        <v>0</v>
      </c>
      <c r="GF145">
        <v>1165047729</v>
      </c>
      <c r="GG145">
        <v>1</v>
      </c>
      <c r="GH145">
        <v>1</v>
      </c>
      <c r="GI145">
        <v>4</v>
      </c>
      <c r="GJ145">
        <v>0</v>
      </c>
      <c r="GK145">
        <f>ROUND(R145*(R12)/100,2)</f>
        <v>0</v>
      </c>
      <c r="GL145">
        <f t="shared" si="193"/>
        <v>0</v>
      </c>
      <c r="GM145">
        <f t="shared" si="194"/>
        <v>910.08</v>
      </c>
      <c r="GN145">
        <f t="shared" si="195"/>
        <v>910.08</v>
      </c>
      <c r="GO145">
        <f t="shared" si="196"/>
        <v>0</v>
      </c>
      <c r="GP145">
        <f t="shared" si="197"/>
        <v>0</v>
      </c>
      <c r="GR145">
        <v>0</v>
      </c>
      <c r="GS145">
        <v>3</v>
      </c>
      <c r="GT145">
        <v>0</v>
      </c>
      <c r="GU145" t="s">
        <v>6</v>
      </c>
      <c r="GV145">
        <f t="shared" si="198"/>
        <v>0</v>
      </c>
      <c r="GW145">
        <v>1</v>
      </c>
      <c r="GX145">
        <f t="shared" si="199"/>
        <v>0</v>
      </c>
      <c r="HA145">
        <v>0</v>
      </c>
      <c r="HB145">
        <v>0</v>
      </c>
      <c r="HC145">
        <f t="shared" si="200"/>
        <v>0</v>
      </c>
      <c r="IK145">
        <v>0</v>
      </c>
    </row>
    <row r="146" spans="1:245" x14ac:dyDescent="0.2">
      <c r="A146">
        <v>18</v>
      </c>
      <c r="B146">
        <v>1</v>
      </c>
      <c r="C146">
        <v>223</v>
      </c>
      <c r="E146" t="s">
        <v>412</v>
      </c>
      <c r="F146" t="s">
        <v>413</v>
      </c>
      <c r="G146" t="s">
        <v>414</v>
      </c>
      <c r="H146" t="s">
        <v>104</v>
      </c>
      <c r="I146">
        <f>I145*J146</f>
        <v>1.4760000000000001E-3</v>
      </c>
      <c r="J146">
        <v>1.6095965103598692E-2</v>
      </c>
      <c r="O146">
        <f t="shared" si="166"/>
        <v>0</v>
      </c>
      <c r="P146">
        <f t="shared" si="167"/>
        <v>0</v>
      </c>
      <c r="Q146">
        <f t="shared" si="168"/>
        <v>0</v>
      </c>
      <c r="R146">
        <f t="shared" si="169"/>
        <v>0</v>
      </c>
      <c r="S146">
        <f t="shared" si="170"/>
        <v>0</v>
      </c>
      <c r="T146">
        <f t="shared" si="171"/>
        <v>0</v>
      </c>
      <c r="U146">
        <f t="shared" si="172"/>
        <v>0</v>
      </c>
      <c r="V146">
        <f t="shared" si="173"/>
        <v>0</v>
      </c>
      <c r="W146">
        <f t="shared" si="174"/>
        <v>0</v>
      </c>
      <c r="X146">
        <f t="shared" si="175"/>
        <v>0</v>
      </c>
      <c r="Y146">
        <f t="shared" si="176"/>
        <v>0</v>
      </c>
      <c r="AA146">
        <v>16808636</v>
      </c>
      <c r="AB146">
        <f t="shared" si="177"/>
        <v>0</v>
      </c>
      <c r="AC146">
        <f t="shared" si="178"/>
        <v>0</v>
      </c>
      <c r="AD146">
        <f t="shared" si="161"/>
        <v>0</v>
      </c>
      <c r="AE146">
        <f t="shared" si="162"/>
        <v>0</v>
      </c>
      <c r="AF146">
        <f t="shared" si="163"/>
        <v>0</v>
      </c>
      <c r="AG146">
        <f t="shared" si="179"/>
        <v>0</v>
      </c>
      <c r="AH146">
        <f t="shared" si="164"/>
        <v>0</v>
      </c>
      <c r="AI146">
        <f t="shared" si="165"/>
        <v>0</v>
      </c>
      <c r="AJ146">
        <f t="shared" si="180"/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80</v>
      </c>
      <c r="AU146">
        <v>50</v>
      </c>
      <c r="AV146">
        <v>1</v>
      </c>
      <c r="AW146">
        <v>1</v>
      </c>
      <c r="AZ146">
        <v>6.71</v>
      </c>
      <c r="BA146">
        <v>1</v>
      </c>
      <c r="BB146">
        <v>1</v>
      </c>
      <c r="BC146">
        <v>6.71</v>
      </c>
      <c r="BD146" t="s">
        <v>6</v>
      </c>
      <c r="BE146" t="s">
        <v>6</v>
      </c>
      <c r="BF146" t="s">
        <v>6</v>
      </c>
      <c r="BG146" t="s">
        <v>6</v>
      </c>
      <c r="BH146">
        <v>3</v>
      </c>
      <c r="BI146">
        <v>1</v>
      </c>
      <c r="BJ146" t="s">
        <v>6</v>
      </c>
      <c r="BM146">
        <v>62001</v>
      </c>
      <c r="BN146">
        <v>0</v>
      </c>
      <c r="BO146" t="s">
        <v>6</v>
      </c>
      <c r="BP146">
        <v>0</v>
      </c>
      <c r="BQ146">
        <v>6</v>
      </c>
      <c r="BR146">
        <v>0</v>
      </c>
      <c r="BS146">
        <v>1</v>
      </c>
      <c r="BT146">
        <v>1</v>
      </c>
      <c r="BU146">
        <v>1</v>
      </c>
      <c r="BV146">
        <v>1</v>
      </c>
      <c r="BW146">
        <v>1</v>
      </c>
      <c r="BX146">
        <v>1</v>
      </c>
      <c r="BY146" t="s">
        <v>6</v>
      </c>
      <c r="BZ146">
        <v>80</v>
      </c>
      <c r="CA146">
        <v>50</v>
      </c>
      <c r="CE146">
        <v>0</v>
      </c>
      <c r="CF146">
        <v>0</v>
      </c>
      <c r="CG146">
        <v>0</v>
      </c>
      <c r="CM146">
        <v>0</v>
      </c>
      <c r="CN146" t="s">
        <v>6</v>
      </c>
      <c r="CO146">
        <v>0</v>
      </c>
      <c r="CP146">
        <f t="shared" si="181"/>
        <v>0</v>
      </c>
      <c r="CQ146">
        <f t="shared" si="182"/>
        <v>0</v>
      </c>
      <c r="CR146">
        <f t="shared" si="183"/>
        <v>0</v>
      </c>
      <c r="CS146">
        <f t="shared" si="184"/>
        <v>0</v>
      </c>
      <c r="CT146">
        <f t="shared" si="185"/>
        <v>0</v>
      </c>
      <c r="CU146">
        <f t="shared" si="186"/>
        <v>0</v>
      </c>
      <c r="CV146">
        <f t="shared" si="187"/>
        <v>0</v>
      </c>
      <c r="CW146">
        <f t="shared" si="188"/>
        <v>0</v>
      </c>
      <c r="CX146">
        <f t="shared" si="189"/>
        <v>0</v>
      </c>
      <c r="CY146">
        <f t="shared" si="190"/>
        <v>0</v>
      </c>
      <c r="CZ146">
        <f t="shared" si="191"/>
        <v>0</v>
      </c>
      <c r="DC146" t="s">
        <v>6</v>
      </c>
      <c r="DD146" t="s">
        <v>6</v>
      </c>
      <c r="DE146" t="s">
        <v>6</v>
      </c>
      <c r="DF146" t="s">
        <v>6</v>
      </c>
      <c r="DG146" t="s">
        <v>6</v>
      </c>
      <c r="DH146" t="s">
        <v>6</v>
      </c>
      <c r="DI146" t="s">
        <v>6</v>
      </c>
      <c r="DJ146" t="s">
        <v>6</v>
      </c>
      <c r="DK146" t="s">
        <v>6</v>
      </c>
      <c r="DL146" t="s">
        <v>6</v>
      </c>
      <c r="DM146" t="s">
        <v>6</v>
      </c>
      <c r="DN146">
        <v>0</v>
      </c>
      <c r="DO146">
        <v>0</v>
      </c>
      <c r="DP146">
        <v>1</v>
      </c>
      <c r="DQ146">
        <v>1</v>
      </c>
      <c r="DU146">
        <v>1009</v>
      </c>
      <c r="DV146" t="s">
        <v>104</v>
      </c>
      <c r="DW146" t="s">
        <v>104</v>
      </c>
      <c r="DX146">
        <v>1000</v>
      </c>
      <c r="EE146">
        <v>16510571</v>
      </c>
      <c r="EF146">
        <v>6</v>
      </c>
      <c r="EG146" t="s">
        <v>30</v>
      </c>
      <c r="EH146">
        <v>0</v>
      </c>
      <c r="EI146" t="s">
        <v>6</v>
      </c>
      <c r="EJ146">
        <v>1</v>
      </c>
      <c r="EK146">
        <v>62001</v>
      </c>
      <c r="EL146" t="s">
        <v>217</v>
      </c>
      <c r="EM146" t="s">
        <v>218</v>
      </c>
      <c r="EO146" t="s">
        <v>6</v>
      </c>
      <c r="EQ146">
        <v>0</v>
      </c>
      <c r="ER146">
        <v>0</v>
      </c>
      <c r="ES146">
        <v>0</v>
      </c>
      <c r="ET146">
        <v>0</v>
      </c>
      <c r="EU146">
        <v>0</v>
      </c>
      <c r="EV146">
        <v>0</v>
      </c>
      <c r="EW146">
        <v>0</v>
      </c>
      <c r="EX146">
        <v>0</v>
      </c>
      <c r="FQ146">
        <v>0</v>
      </c>
      <c r="FR146">
        <f t="shared" si="192"/>
        <v>0</v>
      </c>
      <c r="FS146">
        <v>0</v>
      </c>
      <c r="FX146">
        <v>80</v>
      </c>
      <c r="FY146">
        <v>50</v>
      </c>
      <c r="GA146" t="s">
        <v>6</v>
      </c>
      <c r="GD146">
        <v>0</v>
      </c>
      <c r="GF146">
        <v>84301199</v>
      </c>
      <c r="GG146">
        <v>1</v>
      </c>
      <c r="GH146">
        <v>1</v>
      </c>
      <c r="GI146">
        <v>4</v>
      </c>
      <c r="GJ146">
        <v>0</v>
      </c>
      <c r="GK146">
        <f>ROUND(R146*(R12)/100,2)</f>
        <v>0</v>
      </c>
      <c r="GL146">
        <f t="shared" si="193"/>
        <v>0</v>
      </c>
      <c r="GM146">
        <f t="shared" si="194"/>
        <v>0</v>
      </c>
      <c r="GN146">
        <f t="shared" si="195"/>
        <v>0</v>
      </c>
      <c r="GO146">
        <f t="shared" si="196"/>
        <v>0</v>
      </c>
      <c r="GP146">
        <f t="shared" si="197"/>
        <v>0</v>
      </c>
      <c r="GR146">
        <v>0</v>
      </c>
      <c r="GS146">
        <v>3</v>
      </c>
      <c r="GT146">
        <v>0</v>
      </c>
      <c r="GU146" t="s">
        <v>6</v>
      </c>
      <c r="GV146">
        <f t="shared" si="198"/>
        <v>0</v>
      </c>
      <c r="GW146">
        <v>1</v>
      </c>
      <c r="GX146">
        <f t="shared" si="199"/>
        <v>0</v>
      </c>
      <c r="HA146">
        <v>0</v>
      </c>
      <c r="HB146">
        <v>0</v>
      </c>
      <c r="HC146">
        <f t="shared" si="200"/>
        <v>0</v>
      </c>
      <c r="IK146">
        <v>0</v>
      </c>
    </row>
    <row r="147" spans="1:245" x14ac:dyDescent="0.2">
      <c r="A147">
        <v>18</v>
      </c>
      <c r="B147">
        <v>1</v>
      </c>
      <c r="C147">
        <v>224</v>
      </c>
      <c r="E147" t="s">
        <v>415</v>
      </c>
      <c r="F147" t="s">
        <v>416</v>
      </c>
      <c r="G147" t="s">
        <v>417</v>
      </c>
      <c r="H147" t="s">
        <v>104</v>
      </c>
      <c r="I147">
        <f>I145*J147</f>
        <v>1.4760000000000001E-3</v>
      </c>
      <c r="J147">
        <v>1.6095965103598692E-2</v>
      </c>
      <c r="O147">
        <f t="shared" si="166"/>
        <v>421</v>
      </c>
      <c r="P147">
        <f t="shared" si="167"/>
        <v>421</v>
      </c>
      <c r="Q147">
        <f t="shared" si="168"/>
        <v>0</v>
      </c>
      <c r="R147">
        <f t="shared" si="169"/>
        <v>0</v>
      </c>
      <c r="S147">
        <f t="shared" si="170"/>
        <v>0</v>
      </c>
      <c r="T147">
        <f t="shared" si="171"/>
        <v>0</v>
      </c>
      <c r="U147">
        <f t="shared" si="172"/>
        <v>0</v>
      </c>
      <c r="V147">
        <f t="shared" si="173"/>
        <v>0</v>
      </c>
      <c r="W147">
        <f t="shared" si="174"/>
        <v>0</v>
      </c>
      <c r="X147">
        <f t="shared" si="175"/>
        <v>0</v>
      </c>
      <c r="Y147">
        <f t="shared" si="176"/>
        <v>0</v>
      </c>
      <c r="AA147">
        <v>16808636</v>
      </c>
      <c r="AB147">
        <f t="shared" si="177"/>
        <v>42508.19</v>
      </c>
      <c r="AC147">
        <f t="shared" si="178"/>
        <v>42508.19</v>
      </c>
      <c r="AD147">
        <f t="shared" si="161"/>
        <v>0</v>
      </c>
      <c r="AE147">
        <f t="shared" si="162"/>
        <v>0</v>
      </c>
      <c r="AF147">
        <f t="shared" si="163"/>
        <v>0</v>
      </c>
      <c r="AG147">
        <f t="shared" si="179"/>
        <v>0</v>
      </c>
      <c r="AH147">
        <f t="shared" si="164"/>
        <v>0</v>
      </c>
      <c r="AI147">
        <f t="shared" si="165"/>
        <v>0</v>
      </c>
      <c r="AJ147">
        <f t="shared" si="180"/>
        <v>0</v>
      </c>
      <c r="AK147">
        <v>42508.19</v>
      </c>
      <c r="AL147">
        <v>42508.19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80</v>
      </c>
      <c r="AU147">
        <v>50</v>
      </c>
      <c r="AV147">
        <v>1</v>
      </c>
      <c r="AW147">
        <v>1</v>
      </c>
      <c r="AZ147">
        <v>6.71</v>
      </c>
      <c r="BA147">
        <v>1</v>
      </c>
      <c r="BB147">
        <v>1</v>
      </c>
      <c r="BC147">
        <v>6.71</v>
      </c>
      <c r="BD147" t="s">
        <v>6</v>
      </c>
      <c r="BE147" t="s">
        <v>6</v>
      </c>
      <c r="BF147" t="s">
        <v>6</v>
      </c>
      <c r="BG147" t="s">
        <v>6</v>
      </c>
      <c r="BH147">
        <v>3</v>
      </c>
      <c r="BI147">
        <v>1</v>
      </c>
      <c r="BJ147" t="s">
        <v>418</v>
      </c>
      <c r="BM147">
        <v>62001</v>
      </c>
      <c r="BN147">
        <v>0</v>
      </c>
      <c r="BO147" t="s">
        <v>6</v>
      </c>
      <c r="BP147">
        <v>0</v>
      </c>
      <c r="BQ147">
        <v>6</v>
      </c>
      <c r="BR147">
        <v>0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6</v>
      </c>
      <c r="BZ147">
        <v>80</v>
      </c>
      <c r="CA147">
        <v>50</v>
      </c>
      <c r="CE147">
        <v>0</v>
      </c>
      <c r="CF147">
        <v>0</v>
      </c>
      <c r="CG147">
        <v>0</v>
      </c>
      <c r="CM147">
        <v>0</v>
      </c>
      <c r="CN147" t="s">
        <v>6</v>
      </c>
      <c r="CO147">
        <v>0</v>
      </c>
      <c r="CP147">
        <f t="shared" si="181"/>
        <v>421</v>
      </c>
      <c r="CQ147">
        <f t="shared" si="182"/>
        <v>285229.95490000001</v>
      </c>
      <c r="CR147">
        <f t="shared" si="183"/>
        <v>0</v>
      </c>
      <c r="CS147">
        <f t="shared" si="184"/>
        <v>0</v>
      </c>
      <c r="CT147">
        <f t="shared" si="185"/>
        <v>0</v>
      </c>
      <c r="CU147">
        <f t="shared" si="186"/>
        <v>0</v>
      </c>
      <c r="CV147">
        <f t="shared" si="187"/>
        <v>0</v>
      </c>
      <c r="CW147">
        <f t="shared" si="188"/>
        <v>0</v>
      </c>
      <c r="CX147">
        <f t="shared" si="189"/>
        <v>0</v>
      </c>
      <c r="CY147">
        <f t="shared" si="190"/>
        <v>0</v>
      </c>
      <c r="CZ147">
        <f t="shared" si="191"/>
        <v>0</v>
      </c>
      <c r="DC147" t="s">
        <v>6</v>
      </c>
      <c r="DD147" t="s">
        <v>6</v>
      </c>
      <c r="DE147" t="s">
        <v>6</v>
      </c>
      <c r="DF147" t="s">
        <v>6</v>
      </c>
      <c r="DG147" t="s">
        <v>6</v>
      </c>
      <c r="DH147" t="s">
        <v>6</v>
      </c>
      <c r="DI147" t="s">
        <v>6</v>
      </c>
      <c r="DJ147" t="s">
        <v>6</v>
      </c>
      <c r="DK147" t="s">
        <v>6</v>
      </c>
      <c r="DL147" t="s">
        <v>6</v>
      </c>
      <c r="DM147" t="s">
        <v>6</v>
      </c>
      <c r="DN147">
        <v>0</v>
      </c>
      <c r="DO147">
        <v>0</v>
      </c>
      <c r="DP147">
        <v>1</v>
      </c>
      <c r="DQ147">
        <v>1</v>
      </c>
      <c r="DU147">
        <v>1009</v>
      </c>
      <c r="DV147" t="s">
        <v>104</v>
      </c>
      <c r="DW147" t="s">
        <v>104</v>
      </c>
      <c r="DX147">
        <v>1000</v>
      </c>
      <c r="EE147">
        <v>16510571</v>
      </c>
      <c r="EF147">
        <v>6</v>
      </c>
      <c r="EG147" t="s">
        <v>30</v>
      </c>
      <c r="EH147">
        <v>0</v>
      </c>
      <c r="EI147" t="s">
        <v>6</v>
      </c>
      <c r="EJ147">
        <v>1</v>
      </c>
      <c r="EK147">
        <v>62001</v>
      </c>
      <c r="EL147" t="s">
        <v>217</v>
      </c>
      <c r="EM147" t="s">
        <v>218</v>
      </c>
      <c r="EO147" t="s">
        <v>6</v>
      </c>
      <c r="EQ147">
        <v>0</v>
      </c>
      <c r="ER147">
        <v>42508.19</v>
      </c>
      <c r="ES147">
        <v>42508.19</v>
      </c>
      <c r="ET147">
        <v>0</v>
      </c>
      <c r="EU147">
        <v>0</v>
      </c>
      <c r="EV147">
        <v>0</v>
      </c>
      <c r="EW147">
        <v>0</v>
      </c>
      <c r="EX147">
        <v>0</v>
      </c>
      <c r="FQ147">
        <v>0</v>
      </c>
      <c r="FR147">
        <f t="shared" si="192"/>
        <v>0</v>
      </c>
      <c r="FS147">
        <v>0</v>
      </c>
      <c r="FX147">
        <v>80</v>
      </c>
      <c r="FY147">
        <v>50</v>
      </c>
      <c r="GA147" t="s">
        <v>6</v>
      </c>
      <c r="GD147">
        <v>0</v>
      </c>
      <c r="GF147">
        <v>-777870615</v>
      </c>
      <c r="GG147">
        <v>1</v>
      </c>
      <c r="GH147">
        <v>1</v>
      </c>
      <c r="GI147">
        <v>4</v>
      </c>
      <c r="GJ147">
        <v>0</v>
      </c>
      <c r="GK147">
        <f>ROUND(R147*(R12)/100,2)</f>
        <v>0</v>
      </c>
      <c r="GL147">
        <f t="shared" si="193"/>
        <v>0</v>
      </c>
      <c r="GM147">
        <f t="shared" si="194"/>
        <v>421</v>
      </c>
      <c r="GN147">
        <f t="shared" si="195"/>
        <v>421</v>
      </c>
      <c r="GO147">
        <f t="shared" si="196"/>
        <v>0</v>
      </c>
      <c r="GP147">
        <f t="shared" si="197"/>
        <v>0</v>
      </c>
      <c r="GR147">
        <v>0</v>
      </c>
      <c r="GS147">
        <v>3</v>
      </c>
      <c r="GT147">
        <v>0</v>
      </c>
      <c r="GU147" t="s">
        <v>6</v>
      </c>
      <c r="GV147">
        <f t="shared" si="198"/>
        <v>0</v>
      </c>
      <c r="GW147">
        <v>1</v>
      </c>
      <c r="GX147">
        <f t="shared" si="199"/>
        <v>0</v>
      </c>
      <c r="HA147">
        <v>0</v>
      </c>
      <c r="HB147">
        <v>0</v>
      </c>
      <c r="HC147">
        <f t="shared" si="200"/>
        <v>0</v>
      </c>
      <c r="IK147">
        <v>0</v>
      </c>
    </row>
    <row r="148" spans="1:245" x14ac:dyDescent="0.2">
      <c r="A148">
        <v>17</v>
      </c>
      <c r="B148">
        <v>1</v>
      </c>
      <c r="C148">
        <f>ROW(SmtRes!A233)</f>
        <v>233</v>
      </c>
      <c r="D148">
        <f>ROW(EtalonRes!A216)</f>
        <v>216</v>
      </c>
      <c r="E148" t="s">
        <v>419</v>
      </c>
      <c r="F148" t="s">
        <v>420</v>
      </c>
      <c r="G148" t="s">
        <v>421</v>
      </c>
      <c r="H148" t="s">
        <v>18</v>
      </c>
      <c r="I148">
        <f>ROUND(30/100,9)</f>
        <v>0.3</v>
      </c>
      <c r="J148">
        <v>0</v>
      </c>
      <c r="O148">
        <f t="shared" si="166"/>
        <v>680.86</v>
      </c>
      <c r="P148">
        <f t="shared" si="167"/>
        <v>566.20000000000005</v>
      </c>
      <c r="Q148">
        <f t="shared" si="168"/>
        <v>18.16</v>
      </c>
      <c r="R148">
        <f t="shared" si="169"/>
        <v>0.66</v>
      </c>
      <c r="S148">
        <f t="shared" si="170"/>
        <v>96.5</v>
      </c>
      <c r="T148">
        <f t="shared" si="171"/>
        <v>0</v>
      </c>
      <c r="U148">
        <f t="shared" si="172"/>
        <v>1.5856199999999998</v>
      </c>
      <c r="V148">
        <f t="shared" si="173"/>
        <v>8.9999999999999993E-3</v>
      </c>
      <c r="W148">
        <f t="shared" si="174"/>
        <v>0</v>
      </c>
      <c r="X148">
        <f t="shared" si="175"/>
        <v>78.7</v>
      </c>
      <c r="Y148">
        <f t="shared" si="176"/>
        <v>58.3</v>
      </c>
      <c r="AA148">
        <v>16808636</v>
      </c>
      <c r="AB148">
        <f t="shared" si="177"/>
        <v>338.23</v>
      </c>
      <c r="AC148">
        <f t="shared" si="178"/>
        <v>281.27</v>
      </c>
      <c r="AD148">
        <f>ROUND((((((ET148*1.25)*1.2))-(((EU148*1.25)*1.2)))+AE148),2)</f>
        <v>9.02</v>
      </c>
      <c r="AE148">
        <f>ROUND((((EU148*1.25)*1.2)),2)</f>
        <v>0.33</v>
      </c>
      <c r="AF148">
        <f>ROUND((((EV148*1.15)*1.2)),2)</f>
        <v>47.94</v>
      </c>
      <c r="AG148">
        <f t="shared" si="179"/>
        <v>0</v>
      </c>
      <c r="AH148">
        <f>(((EW148*1.15)*1.2))</f>
        <v>5.2853999999999992</v>
      </c>
      <c r="AI148">
        <f>(((EX148*1.25)*1.2))</f>
        <v>0.03</v>
      </c>
      <c r="AJ148">
        <f t="shared" si="180"/>
        <v>0</v>
      </c>
      <c r="AK148">
        <v>322.02</v>
      </c>
      <c r="AL148">
        <v>281.27</v>
      </c>
      <c r="AM148">
        <v>6.01</v>
      </c>
      <c r="AN148">
        <v>0.22</v>
      </c>
      <c r="AO148">
        <v>34.74</v>
      </c>
      <c r="AP148">
        <v>0</v>
      </c>
      <c r="AQ148">
        <v>3.83</v>
      </c>
      <c r="AR148">
        <v>0.02</v>
      </c>
      <c r="AS148">
        <v>0</v>
      </c>
      <c r="AT148">
        <v>81</v>
      </c>
      <c r="AU148">
        <v>60</v>
      </c>
      <c r="AV148">
        <v>1</v>
      </c>
      <c r="AW148">
        <v>1</v>
      </c>
      <c r="AZ148">
        <v>6.71</v>
      </c>
      <c r="BA148">
        <v>6.71</v>
      </c>
      <c r="BB148">
        <v>6.71</v>
      </c>
      <c r="BC148">
        <v>6.71</v>
      </c>
      <c r="BD148" t="s">
        <v>6</v>
      </c>
      <c r="BE148" t="s">
        <v>6</v>
      </c>
      <c r="BF148" t="s">
        <v>6</v>
      </c>
      <c r="BG148" t="s">
        <v>6</v>
      </c>
      <c r="BH148">
        <v>0</v>
      </c>
      <c r="BI148">
        <v>1</v>
      </c>
      <c r="BJ148" t="s">
        <v>422</v>
      </c>
      <c r="BM148">
        <v>13001</v>
      </c>
      <c r="BN148">
        <v>0</v>
      </c>
      <c r="BO148" t="s">
        <v>6</v>
      </c>
      <c r="BP148">
        <v>0</v>
      </c>
      <c r="BQ148">
        <v>2</v>
      </c>
      <c r="BR148">
        <v>0</v>
      </c>
      <c r="BS148">
        <v>6.71</v>
      </c>
      <c r="BT148">
        <v>1</v>
      </c>
      <c r="BU148">
        <v>1</v>
      </c>
      <c r="BV148">
        <v>1</v>
      </c>
      <c r="BW148">
        <v>1</v>
      </c>
      <c r="BX148">
        <v>1</v>
      </c>
      <c r="BY148" t="s">
        <v>6</v>
      </c>
      <c r="BZ148">
        <v>90</v>
      </c>
      <c r="CA148">
        <v>70</v>
      </c>
      <c r="CE148">
        <v>0</v>
      </c>
      <c r="CF148">
        <v>0</v>
      </c>
      <c r="CG148">
        <v>0</v>
      </c>
      <c r="CM148">
        <v>0</v>
      </c>
      <c r="CN148" t="s">
        <v>1057</v>
      </c>
      <c r="CO148">
        <v>0</v>
      </c>
      <c r="CP148">
        <f t="shared" si="181"/>
        <v>680.86</v>
      </c>
      <c r="CQ148">
        <f t="shared" si="182"/>
        <v>1887.3217</v>
      </c>
      <c r="CR148">
        <f t="shared" si="183"/>
        <v>60.524199999999993</v>
      </c>
      <c r="CS148">
        <f t="shared" si="184"/>
        <v>2.2143000000000002</v>
      </c>
      <c r="CT148">
        <f t="shared" si="185"/>
        <v>321.67739999999998</v>
      </c>
      <c r="CU148">
        <f t="shared" si="186"/>
        <v>0</v>
      </c>
      <c r="CV148">
        <f t="shared" si="187"/>
        <v>5.2853999999999992</v>
      </c>
      <c r="CW148">
        <f t="shared" si="188"/>
        <v>0.03</v>
      </c>
      <c r="CX148">
        <f t="shared" si="189"/>
        <v>0</v>
      </c>
      <c r="CY148">
        <f t="shared" si="190"/>
        <v>78.699600000000004</v>
      </c>
      <c r="CZ148">
        <f t="shared" si="191"/>
        <v>58.295999999999992</v>
      </c>
      <c r="DC148" t="s">
        <v>6</v>
      </c>
      <c r="DD148" t="s">
        <v>6</v>
      </c>
      <c r="DE148" t="s">
        <v>174</v>
      </c>
      <c r="DF148" t="s">
        <v>174</v>
      </c>
      <c r="DG148" t="s">
        <v>175</v>
      </c>
      <c r="DH148" t="s">
        <v>6</v>
      </c>
      <c r="DI148" t="s">
        <v>175</v>
      </c>
      <c r="DJ148" t="s">
        <v>174</v>
      </c>
      <c r="DK148" t="s">
        <v>6</v>
      </c>
      <c r="DL148" t="s">
        <v>6</v>
      </c>
      <c r="DM148" t="s">
        <v>6</v>
      </c>
      <c r="DN148">
        <v>0</v>
      </c>
      <c r="DO148">
        <v>0</v>
      </c>
      <c r="DP148">
        <v>1</v>
      </c>
      <c r="DQ148">
        <v>1</v>
      </c>
      <c r="DU148">
        <v>1005</v>
      </c>
      <c r="DV148" t="s">
        <v>18</v>
      </c>
      <c r="DW148" t="s">
        <v>18</v>
      </c>
      <c r="DX148">
        <v>100</v>
      </c>
      <c r="EE148">
        <v>16510490</v>
      </c>
      <c r="EF148">
        <v>2</v>
      </c>
      <c r="EG148" t="s">
        <v>20</v>
      </c>
      <c r="EH148">
        <v>0</v>
      </c>
      <c r="EI148" t="s">
        <v>6</v>
      </c>
      <c r="EJ148">
        <v>1</v>
      </c>
      <c r="EK148">
        <v>13001</v>
      </c>
      <c r="EL148" t="s">
        <v>423</v>
      </c>
      <c r="EM148" t="s">
        <v>424</v>
      </c>
      <c r="EO148" t="s">
        <v>178</v>
      </c>
      <c r="EQ148">
        <v>0</v>
      </c>
      <c r="ER148">
        <v>322.02</v>
      </c>
      <c r="ES148">
        <v>281.27</v>
      </c>
      <c r="ET148">
        <v>6.01</v>
      </c>
      <c r="EU148">
        <v>0.22</v>
      </c>
      <c r="EV148">
        <v>34.74</v>
      </c>
      <c r="EW148">
        <v>3.83</v>
      </c>
      <c r="EX148">
        <v>0.02</v>
      </c>
      <c r="EY148">
        <v>0</v>
      </c>
      <c r="FQ148">
        <v>0</v>
      </c>
      <c r="FR148">
        <f t="shared" si="192"/>
        <v>0</v>
      </c>
      <c r="FS148">
        <v>0</v>
      </c>
      <c r="FT148" t="s">
        <v>23</v>
      </c>
      <c r="FU148" t="s">
        <v>24</v>
      </c>
      <c r="FX148">
        <v>81</v>
      </c>
      <c r="FY148">
        <v>59.5</v>
      </c>
      <c r="GA148" t="s">
        <v>6</v>
      </c>
      <c r="GD148">
        <v>0</v>
      </c>
      <c r="GF148">
        <v>679810944</v>
      </c>
      <c r="GG148">
        <v>1</v>
      </c>
      <c r="GH148">
        <v>1</v>
      </c>
      <c r="GI148">
        <v>4</v>
      </c>
      <c r="GJ148">
        <v>0</v>
      </c>
      <c r="GK148">
        <f>ROUND(R148*(R12)/100,2)</f>
        <v>0</v>
      </c>
      <c r="GL148">
        <f t="shared" si="193"/>
        <v>0</v>
      </c>
      <c r="GM148">
        <f t="shared" si="194"/>
        <v>817.86</v>
      </c>
      <c r="GN148">
        <f t="shared" si="195"/>
        <v>817.86</v>
      </c>
      <c r="GO148">
        <f t="shared" si="196"/>
        <v>0</v>
      </c>
      <c r="GP148">
        <f t="shared" si="197"/>
        <v>0</v>
      </c>
      <c r="GR148">
        <v>0</v>
      </c>
      <c r="GS148">
        <v>3</v>
      </c>
      <c r="GT148">
        <v>0</v>
      </c>
      <c r="GU148" t="s">
        <v>6</v>
      </c>
      <c r="GV148">
        <f t="shared" si="198"/>
        <v>0</v>
      </c>
      <c r="GW148">
        <v>1</v>
      </c>
      <c r="GX148">
        <f t="shared" si="199"/>
        <v>0</v>
      </c>
      <c r="HA148">
        <v>0</v>
      </c>
      <c r="HB148">
        <v>0</v>
      </c>
      <c r="HC148">
        <f t="shared" si="200"/>
        <v>0</v>
      </c>
      <c r="IK148">
        <v>0</v>
      </c>
    </row>
    <row r="149" spans="1:245" x14ac:dyDescent="0.2">
      <c r="A149">
        <v>17</v>
      </c>
      <c r="B149">
        <v>1</v>
      </c>
      <c r="E149" t="s">
        <v>425</v>
      </c>
      <c r="F149" t="s">
        <v>426</v>
      </c>
      <c r="G149" t="s">
        <v>427</v>
      </c>
      <c r="H149" t="s">
        <v>428</v>
      </c>
      <c r="I149">
        <v>1.8</v>
      </c>
      <c r="J149">
        <v>0</v>
      </c>
      <c r="O149">
        <f>0</f>
        <v>0</v>
      </c>
      <c r="P149">
        <f>0</f>
        <v>0</v>
      </c>
      <c r="Q149">
        <f>0</f>
        <v>0</v>
      </c>
      <c r="R149">
        <f>0</f>
        <v>0</v>
      </c>
      <c r="S149">
        <f>0</f>
        <v>0</v>
      </c>
      <c r="T149">
        <f>0</f>
        <v>0</v>
      </c>
      <c r="U149">
        <f>0</f>
        <v>0</v>
      </c>
      <c r="V149">
        <f>0</f>
        <v>0</v>
      </c>
      <c r="W149">
        <f>0</f>
        <v>0</v>
      </c>
      <c r="X149">
        <f>0</f>
        <v>0</v>
      </c>
      <c r="Y149">
        <f>0</f>
        <v>0</v>
      </c>
      <c r="AA149">
        <v>16808636</v>
      </c>
      <c r="AB149">
        <f>ROUND((AK149),2)</f>
        <v>42.98</v>
      </c>
      <c r="AC149">
        <f>0</f>
        <v>0</v>
      </c>
      <c r="AD149">
        <f>0</f>
        <v>0</v>
      </c>
      <c r="AE149">
        <f>0</f>
        <v>0</v>
      </c>
      <c r="AF149">
        <f>0</f>
        <v>0</v>
      </c>
      <c r="AG149">
        <f>0</f>
        <v>0</v>
      </c>
      <c r="AH149">
        <f>0</f>
        <v>0</v>
      </c>
      <c r="AI149">
        <f>0</f>
        <v>0</v>
      </c>
      <c r="AJ149">
        <f>0</f>
        <v>0</v>
      </c>
      <c r="AK149">
        <v>42.98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1</v>
      </c>
      <c r="AW149">
        <v>1</v>
      </c>
      <c r="AZ149">
        <v>6.71</v>
      </c>
      <c r="BA149">
        <v>1</v>
      </c>
      <c r="BB149">
        <v>1</v>
      </c>
      <c r="BC149">
        <v>1</v>
      </c>
      <c r="BD149" t="s">
        <v>6</v>
      </c>
      <c r="BE149" t="s">
        <v>6</v>
      </c>
      <c r="BF149" t="s">
        <v>6</v>
      </c>
      <c r="BG149" t="s">
        <v>6</v>
      </c>
      <c r="BH149">
        <v>0</v>
      </c>
      <c r="BI149">
        <v>1</v>
      </c>
      <c r="BJ149" t="s">
        <v>429</v>
      </c>
      <c r="BM149">
        <v>700004</v>
      </c>
      <c r="BN149">
        <v>0</v>
      </c>
      <c r="BO149" t="s">
        <v>6</v>
      </c>
      <c r="BP149">
        <v>0</v>
      </c>
      <c r="BQ149">
        <v>19</v>
      </c>
      <c r="BR149">
        <v>0</v>
      </c>
      <c r="BS149">
        <v>1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6</v>
      </c>
      <c r="BZ149">
        <v>0</v>
      </c>
      <c r="CA149">
        <v>0</v>
      </c>
      <c r="CE149">
        <v>0</v>
      </c>
      <c r="CF149">
        <v>0</v>
      </c>
      <c r="CG149">
        <v>0</v>
      </c>
      <c r="CM149">
        <v>0</v>
      </c>
      <c r="CN149" t="s">
        <v>6</v>
      </c>
      <c r="CO149">
        <v>0</v>
      </c>
      <c r="CP149">
        <f>AB149*AZ149</f>
        <v>288.39579999999995</v>
      </c>
      <c r="CQ149">
        <v>0</v>
      </c>
      <c r="CR149">
        <v>0</v>
      </c>
      <c r="CS149">
        <v>0</v>
      </c>
      <c r="CT149">
        <v>0</v>
      </c>
      <c r="CU149">
        <v>0</v>
      </c>
      <c r="CV149">
        <v>0</v>
      </c>
      <c r="CW149">
        <v>0</v>
      </c>
      <c r="CX149">
        <v>0</v>
      </c>
      <c r="CY149">
        <v>0</v>
      </c>
      <c r="CZ149">
        <v>0</v>
      </c>
      <c r="DC149" t="s">
        <v>6</v>
      </c>
      <c r="DD149" t="s">
        <v>6</v>
      </c>
      <c r="DE149" t="s">
        <v>6</v>
      </c>
      <c r="DF149" t="s">
        <v>6</v>
      </c>
      <c r="DG149" t="s">
        <v>6</v>
      </c>
      <c r="DH149" t="s">
        <v>6</v>
      </c>
      <c r="DI149" t="s">
        <v>6</v>
      </c>
      <c r="DJ149" t="s">
        <v>6</v>
      </c>
      <c r="DK149" t="s">
        <v>6</v>
      </c>
      <c r="DL149" t="s">
        <v>6</v>
      </c>
      <c r="DM149" t="s">
        <v>6</v>
      </c>
      <c r="DN149">
        <v>0</v>
      </c>
      <c r="DO149">
        <v>0</v>
      </c>
      <c r="DP149">
        <v>1</v>
      </c>
      <c r="DQ149">
        <v>1</v>
      </c>
      <c r="DU149">
        <v>1013</v>
      </c>
      <c r="DV149" t="s">
        <v>428</v>
      </c>
      <c r="DW149" t="s">
        <v>428</v>
      </c>
      <c r="DX149">
        <v>1</v>
      </c>
      <c r="EE149">
        <v>16510675</v>
      </c>
      <c r="EF149">
        <v>19</v>
      </c>
      <c r="EG149" t="s">
        <v>430</v>
      </c>
      <c r="EH149">
        <v>0</v>
      </c>
      <c r="EI149" t="s">
        <v>6</v>
      </c>
      <c r="EJ149">
        <v>1</v>
      </c>
      <c r="EK149">
        <v>700004</v>
      </c>
      <c r="EL149" t="s">
        <v>431</v>
      </c>
      <c r="EM149" t="s">
        <v>432</v>
      </c>
      <c r="EO149" t="s">
        <v>6</v>
      </c>
      <c r="EQ149">
        <v>0</v>
      </c>
      <c r="ER149">
        <v>0</v>
      </c>
      <c r="ES149">
        <v>0</v>
      </c>
      <c r="ET149">
        <v>0</v>
      </c>
      <c r="EU149">
        <v>0</v>
      </c>
      <c r="EV149">
        <v>0</v>
      </c>
      <c r="EW149">
        <v>0</v>
      </c>
      <c r="EX149">
        <v>0</v>
      </c>
      <c r="EY149">
        <v>0</v>
      </c>
      <c r="FQ149">
        <v>0</v>
      </c>
      <c r="FR149">
        <f t="shared" si="192"/>
        <v>0</v>
      </c>
      <c r="FS149">
        <v>0</v>
      </c>
      <c r="FX149">
        <v>0</v>
      </c>
      <c r="FY149">
        <v>0</v>
      </c>
      <c r="GA149" t="s">
        <v>6</v>
      </c>
      <c r="GD149">
        <v>0</v>
      </c>
      <c r="GF149">
        <v>811861299</v>
      </c>
      <c r="GG149">
        <v>1</v>
      </c>
      <c r="GH149">
        <v>1</v>
      </c>
      <c r="GI149">
        <v>4</v>
      </c>
      <c r="GJ149">
        <v>2</v>
      </c>
      <c r="GK149">
        <f>ROUND(R149*(R12)/100,2)</f>
        <v>0</v>
      </c>
      <c r="GL149">
        <f t="shared" si="193"/>
        <v>0</v>
      </c>
      <c r="GM149">
        <f>ROUND(CP149*I149,2)</f>
        <v>519.11</v>
      </c>
      <c r="GN149">
        <f>IF(OR(BI149=0,BI149=1),ROUND(CP149*I149,2),0)</f>
        <v>519.11</v>
      </c>
      <c r="GO149">
        <f>IF(BI149=2,ROUND(CP149*I149,2),0)</f>
        <v>0</v>
      </c>
      <c r="GP149">
        <f>IF(BI149=4,ROUND(CP149*I149,2)+GX149,0)</f>
        <v>0</v>
      </c>
      <c r="GR149">
        <v>0</v>
      </c>
      <c r="GS149">
        <v>3</v>
      </c>
      <c r="GT149">
        <v>0</v>
      </c>
      <c r="GU149" t="s">
        <v>6</v>
      </c>
      <c r="GV149">
        <f>0</f>
        <v>0</v>
      </c>
      <c r="GW149">
        <v>1</v>
      </c>
      <c r="GX149">
        <f>0</f>
        <v>0</v>
      </c>
      <c r="HA149">
        <v>0</v>
      </c>
      <c r="HB149">
        <v>0</v>
      </c>
      <c r="HC149">
        <v>0</v>
      </c>
      <c r="IK149">
        <v>0</v>
      </c>
    </row>
    <row r="150" spans="1:245" x14ac:dyDescent="0.2">
      <c r="A150">
        <v>17</v>
      </c>
      <c r="B150">
        <v>1</v>
      </c>
      <c r="E150" t="s">
        <v>433</v>
      </c>
      <c r="F150" t="s">
        <v>434</v>
      </c>
      <c r="G150" t="s">
        <v>435</v>
      </c>
      <c r="H150" t="s">
        <v>428</v>
      </c>
      <c r="I150">
        <v>1.8</v>
      </c>
      <c r="J150">
        <v>0</v>
      </c>
      <c r="O150">
        <f>0</f>
        <v>0</v>
      </c>
      <c r="P150">
        <f>0</f>
        <v>0</v>
      </c>
      <c r="Q150">
        <f>0</f>
        <v>0</v>
      </c>
      <c r="R150">
        <f>0</f>
        <v>0</v>
      </c>
      <c r="S150">
        <f>0</f>
        <v>0</v>
      </c>
      <c r="T150">
        <f>0</f>
        <v>0</v>
      </c>
      <c r="U150">
        <f>0</f>
        <v>0</v>
      </c>
      <c r="V150">
        <f>0</f>
        <v>0</v>
      </c>
      <c r="W150">
        <f>0</f>
        <v>0</v>
      </c>
      <c r="X150">
        <f>0</f>
        <v>0</v>
      </c>
      <c r="Y150">
        <f>0</f>
        <v>0</v>
      </c>
      <c r="AA150">
        <v>16808636</v>
      </c>
      <c r="AB150">
        <f>ROUND((AK150),2)</f>
        <v>23.67</v>
      </c>
      <c r="AC150">
        <f>0</f>
        <v>0</v>
      </c>
      <c r="AD150">
        <f>0</f>
        <v>0</v>
      </c>
      <c r="AE150">
        <f>0</f>
        <v>0</v>
      </c>
      <c r="AF150">
        <f>0</f>
        <v>0</v>
      </c>
      <c r="AG150">
        <f>0</f>
        <v>0</v>
      </c>
      <c r="AH150">
        <f>0</f>
        <v>0</v>
      </c>
      <c r="AI150">
        <f>0</f>
        <v>0</v>
      </c>
      <c r="AJ150">
        <f>0</f>
        <v>0</v>
      </c>
      <c r="AK150">
        <v>23.67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1</v>
      </c>
      <c r="AW150">
        <v>1</v>
      </c>
      <c r="AZ150">
        <v>6.71</v>
      </c>
      <c r="BA150">
        <v>1</v>
      </c>
      <c r="BB150">
        <v>1</v>
      </c>
      <c r="BC150">
        <v>1</v>
      </c>
      <c r="BD150" t="s">
        <v>6</v>
      </c>
      <c r="BE150" t="s">
        <v>6</v>
      </c>
      <c r="BF150" t="s">
        <v>6</v>
      </c>
      <c r="BG150" t="s">
        <v>6</v>
      </c>
      <c r="BH150">
        <v>0</v>
      </c>
      <c r="BI150">
        <v>1</v>
      </c>
      <c r="BJ150" t="s">
        <v>436</v>
      </c>
      <c r="BM150">
        <v>700005</v>
      </c>
      <c r="BN150">
        <v>0</v>
      </c>
      <c r="BO150" t="s">
        <v>6</v>
      </c>
      <c r="BP150">
        <v>0</v>
      </c>
      <c r="BQ150">
        <v>10</v>
      </c>
      <c r="BR150">
        <v>0</v>
      </c>
      <c r="BS150">
        <v>1</v>
      </c>
      <c r="BT150">
        <v>1</v>
      </c>
      <c r="BU150">
        <v>1</v>
      </c>
      <c r="BV150">
        <v>1</v>
      </c>
      <c r="BW150">
        <v>1</v>
      </c>
      <c r="BX150">
        <v>1</v>
      </c>
      <c r="BY150" t="s">
        <v>6</v>
      </c>
      <c r="BZ150">
        <v>0</v>
      </c>
      <c r="CA150">
        <v>0</v>
      </c>
      <c r="CE150">
        <v>0</v>
      </c>
      <c r="CF150">
        <v>0</v>
      </c>
      <c r="CG150">
        <v>0</v>
      </c>
      <c r="CM150">
        <v>0</v>
      </c>
      <c r="CN150" t="s">
        <v>6</v>
      </c>
      <c r="CO150">
        <v>0</v>
      </c>
      <c r="CP150">
        <f>AB150*AZ150</f>
        <v>158.82570000000001</v>
      </c>
      <c r="CQ150">
        <v>0</v>
      </c>
      <c r="CR150">
        <v>0</v>
      </c>
      <c r="CS150">
        <v>0</v>
      </c>
      <c r="CT150">
        <v>0</v>
      </c>
      <c r="CU150">
        <v>0</v>
      </c>
      <c r="CV150">
        <v>0</v>
      </c>
      <c r="CW150">
        <v>0</v>
      </c>
      <c r="CX150">
        <v>0</v>
      </c>
      <c r="CY150">
        <v>0</v>
      </c>
      <c r="CZ150">
        <v>0</v>
      </c>
      <c r="DC150" t="s">
        <v>6</v>
      </c>
      <c r="DD150" t="s">
        <v>6</v>
      </c>
      <c r="DE150" t="s">
        <v>6</v>
      </c>
      <c r="DF150" t="s">
        <v>6</v>
      </c>
      <c r="DG150" t="s">
        <v>6</v>
      </c>
      <c r="DH150" t="s">
        <v>6</v>
      </c>
      <c r="DI150" t="s">
        <v>6</v>
      </c>
      <c r="DJ150" t="s">
        <v>6</v>
      </c>
      <c r="DK150" t="s">
        <v>6</v>
      </c>
      <c r="DL150" t="s">
        <v>6</v>
      </c>
      <c r="DM150" t="s">
        <v>6</v>
      </c>
      <c r="DN150">
        <v>0</v>
      </c>
      <c r="DO150">
        <v>0</v>
      </c>
      <c r="DP150">
        <v>1</v>
      </c>
      <c r="DQ150">
        <v>1</v>
      </c>
      <c r="DU150">
        <v>1013</v>
      </c>
      <c r="DV150" t="s">
        <v>428</v>
      </c>
      <c r="DW150" t="s">
        <v>428</v>
      </c>
      <c r="DX150">
        <v>1</v>
      </c>
      <c r="EE150">
        <v>16510679</v>
      </c>
      <c r="EF150">
        <v>10</v>
      </c>
      <c r="EG150" t="s">
        <v>437</v>
      </c>
      <c r="EH150">
        <v>0</v>
      </c>
      <c r="EI150" t="s">
        <v>6</v>
      </c>
      <c r="EJ150">
        <v>1</v>
      </c>
      <c r="EK150">
        <v>700005</v>
      </c>
      <c r="EL150" t="s">
        <v>438</v>
      </c>
      <c r="EM150" t="s">
        <v>439</v>
      </c>
      <c r="EO150" t="s">
        <v>6</v>
      </c>
      <c r="EQ150">
        <v>0</v>
      </c>
      <c r="ER150">
        <v>0</v>
      </c>
      <c r="ES150">
        <v>0</v>
      </c>
      <c r="ET150">
        <v>0</v>
      </c>
      <c r="EU150">
        <v>0</v>
      </c>
      <c r="EV150">
        <v>0</v>
      </c>
      <c r="EW150">
        <v>0</v>
      </c>
      <c r="EX150">
        <v>0</v>
      </c>
      <c r="EY150">
        <v>0</v>
      </c>
      <c r="FQ150">
        <v>0</v>
      </c>
      <c r="FR150">
        <f t="shared" si="192"/>
        <v>0</v>
      </c>
      <c r="FS150">
        <v>0</v>
      </c>
      <c r="FX150">
        <v>0</v>
      </c>
      <c r="FY150">
        <v>0</v>
      </c>
      <c r="GA150" t="s">
        <v>6</v>
      </c>
      <c r="GD150">
        <v>0</v>
      </c>
      <c r="GF150">
        <v>1142807210</v>
      </c>
      <c r="GG150">
        <v>1</v>
      </c>
      <c r="GH150">
        <v>1</v>
      </c>
      <c r="GI150">
        <v>4</v>
      </c>
      <c r="GJ150">
        <v>2</v>
      </c>
      <c r="GK150">
        <f>ROUND(R150*(R12)/100,2)</f>
        <v>0</v>
      </c>
      <c r="GL150">
        <f t="shared" si="193"/>
        <v>0</v>
      </c>
      <c r="GM150">
        <f>ROUND(CP150*I150,2)</f>
        <v>285.89</v>
      </c>
      <c r="GN150">
        <f>IF(OR(BI150=0,BI150=1),ROUND(CP150*I150,2),0)</f>
        <v>285.89</v>
      </c>
      <c r="GO150">
        <f>IF(BI150=2,ROUND(CP150*I150,2),0)</f>
        <v>0</v>
      </c>
      <c r="GP150">
        <f>IF(BI150=4,ROUND(CP150*I150,2)+GX150,0)</f>
        <v>0</v>
      </c>
      <c r="GR150">
        <v>0</v>
      </c>
      <c r="GS150">
        <v>3</v>
      </c>
      <c r="GT150">
        <v>0</v>
      </c>
      <c r="GU150" t="s">
        <v>6</v>
      </c>
      <c r="GV150">
        <f>0</f>
        <v>0</v>
      </c>
      <c r="GW150">
        <v>1</v>
      </c>
      <c r="GX150">
        <f>0</f>
        <v>0</v>
      </c>
      <c r="HA150">
        <v>0</v>
      </c>
      <c r="HB150">
        <v>0</v>
      </c>
      <c r="HC150">
        <v>0</v>
      </c>
      <c r="IK150">
        <v>0</v>
      </c>
    </row>
    <row r="152" spans="1:245" x14ac:dyDescent="0.2">
      <c r="A152" s="2">
        <v>51</v>
      </c>
      <c r="B152" s="2">
        <f>B75</f>
        <v>1</v>
      </c>
      <c r="C152" s="2">
        <f>A75</f>
        <v>4</v>
      </c>
      <c r="D152" s="2">
        <f>ROW(A75)</f>
        <v>75</v>
      </c>
      <c r="E152" s="2"/>
      <c r="F152" s="2" t="str">
        <f>IF(F75&lt;&gt;"",F75,"")</f>
        <v>Новый раздел</v>
      </c>
      <c r="G152" s="2" t="str">
        <f>IF(G75&lt;&gt;"",G75,"")</f>
        <v>Монтаж</v>
      </c>
      <c r="H152" s="2">
        <v>0</v>
      </c>
      <c r="I152" s="2"/>
      <c r="J152" s="2"/>
      <c r="K152" s="2"/>
      <c r="L152" s="2"/>
      <c r="M152" s="2"/>
      <c r="N152" s="2"/>
      <c r="O152" s="2">
        <f t="shared" ref="O152:T152" si="201">ROUND(AB152,2)</f>
        <v>652338.69999999995</v>
      </c>
      <c r="P152" s="2">
        <f t="shared" si="201"/>
        <v>610676.32999999996</v>
      </c>
      <c r="Q152" s="2">
        <f t="shared" si="201"/>
        <v>3587.88</v>
      </c>
      <c r="R152" s="2">
        <f t="shared" si="201"/>
        <v>963.99</v>
      </c>
      <c r="S152" s="2">
        <f t="shared" si="201"/>
        <v>38074.49</v>
      </c>
      <c r="T152" s="2">
        <f t="shared" si="201"/>
        <v>0</v>
      </c>
      <c r="U152" s="2">
        <f>AH152</f>
        <v>656.53464069999973</v>
      </c>
      <c r="V152" s="2">
        <f>AI152</f>
        <v>11.325867000000001</v>
      </c>
      <c r="W152" s="2">
        <f>ROUND(AJ152,2)</f>
        <v>0</v>
      </c>
      <c r="X152" s="2">
        <f>ROUND(AK152,2)</f>
        <v>38000.54</v>
      </c>
      <c r="Y152" s="2">
        <f>ROUND(AL152,2)</f>
        <v>22112.47</v>
      </c>
      <c r="Z152" s="2"/>
      <c r="AA152" s="2"/>
      <c r="AB152" s="2">
        <f>ROUND(SUMIF(AA79:AA150,"=16808636",O79:O150),2)</f>
        <v>652338.69999999995</v>
      </c>
      <c r="AC152" s="2">
        <f>ROUND(SUMIF(AA79:AA150,"=16808636",P79:P150),2)</f>
        <v>610676.32999999996</v>
      </c>
      <c r="AD152" s="2">
        <f>ROUND(SUMIF(AA79:AA150,"=16808636",Q79:Q150),2)</f>
        <v>3587.88</v>
      </c>
      <c r="AE152" s="2">
        <f>ROUND(SUMIF(AA79:AA150,"=16808636",R79:R150),2)</f>
        <v>963.99</v>
      </c>
      <c r="AF152" s="2">
        <f>ROUND(SUMIF(AA79:AA150,"=16808636",S79:S150),2)</f>
        <v>38074.49</v>
      </c>
      <c r="AG152" s="2">
        <f>ROUND(SUMIF(AA79:AA150,"=16808636",T79:T150),2)</f>
        <v>0</v>
      </c>
      <c r="AH152" s="2">
        <f>SUMIF(AA79:AA150,"=16808636",U79:U150)</f>
        <v>656.53464069999973</v>
      </c>
      <c r="AI152" s="2">
        <f>SUMIF(AA79:AA150,"=16808636",V79:V150)</f>
        <v>11.325867000000001</v>
      </c>
      <c r="AJ152" s="2">
        <f>ROUND(SUMIF(AA79:AA150,"=16808636",W79:W150),2)</f>
        <v>0</v>
      </c>
      <c r="AK152" s="2">
        <f>ROUND(SUMIF(AA79:AA150,"=16808636",X79:X150),2)</f>
        <v>38000.54</v>
      </c>
      <c r="AL152" s="2">
        <f>ROUND(SUMIF(AA79:AA150,"=16808636",Y79:Y150),2)</f>
        <v>22112.47</v>
      </c>
      <c r="AM152" s="2"/>
      <c r="AN152" s="2"/>
      <c r="AO152" s="2">
        <f t="shared" ref="AO152:BC152" si="202">ROUND(BX152,2)</f>
        <v>0</v>
      </c>
      <c r="AP152" s="2">
        <f t="shared" si="202"/>
        <v>0</v>
      </c>
      <c r="AQ152" s="2">
        <f t="shared" si="202"/>
        <v>0</v>
      </c>
      <c r="AR152" s="2">
        <f t="shared" si="202"/>
        <v>713256.71</v>
      </c>
      <c r="AS152" s="2">
        <f t="shared" si="202"/>
        <v>713256.71</v>
      </c>
      <c r="AT152" s="2">
        <f t="shared" si="202"/>
        <v>0</v>
      </c>
      <c r="AU152" s="2">
        <f t="shared" si="202"/>
        <v>0</v>
      </c>
      <c r="AV152" s="2">
        <f t="shared" si="202"/>
        <v>610676.32999999996</v>
      </c>
      <c r="AW152" s="2">
        <f t="shared" si="202"/>
        <v>610676.32999999996</v>
      </c>
      <c r="AX152" s="2">
        <f t="shared" si="202"/>
        <v>0</v>
      </c>
      <c r="AY152" s="2">
        <f t="shared" si="202"/>
        <v>610676.32999999996</v>
      </c>
      <c r="AZ152" s="2">
        <f t="shared" si="202"/>
        <v>0</v>
      </c>
      <c r="BA152" s="2">
        <f t="shared" si="202"/>
        <v>0</v>
      </c>
      <c r="BB152" s="2">
        <f t="shared" si="202"/>
        <v>0</v>
      </c>
      <c r="BC152" s="2">
        <f t="shared" si="202"/>
        <v>0</v>
      </c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>
        <f>ROUND(SUMIF(AA79:AA150,"=16808636",FQ79:FQ150),2)</f>
        <v>0</v>
      </c>
      <c r="BY152" s="2">
        <f>ROUND(SUMIF(AA79:AA150,"=16808636",FR79:FR150),2)</f>
        <v>0</v>
      </c>
      <c r="BZ152" s="2">
        <f>ROUND(SUMIF(AA79:AA150,"=16808636",GL79:GL150),2)</f>
        <v>0</v>
      </c>
      <c r="CA152" s="2">
        <f>ROUND(SUMIF(AA79:AA150,"=16808636",GM79:GM150),2)</f>
        <v>713256.71</v>
      </c>
      <c r="CB152" s="2">
        <f>ROUND(SUMIF(AA79:AA150,"=16808636",GN79:GN150),2)</f>
        <v>713256.71</v>
      </c>
      <c r="CC152" s="2">
        <f>ROUND(SUMIF(AA79:AA150,"=16808636",GO79:GO150),2)</f>
        <v>0</v>
      </c>
      <c r="CD152" s="2">
        <f>ROUND(SUMIF(AA79:AA150,"=16808636",GP79:GP150),2)</f>
        <v>0</v>
      </c>
      <c r="CE152" s="2">
        <f>AC152-BX152</f>
        <v>610676.32999999996</v>
      </c>
      <c r="CF152" s="2">
        <f>AC152-BY152</f>
        <v>610676.32999999996</v>
      </c>
      <c r="CG152" s="2">
        <f>BX152-BZ152</f>
        <v>0</v>
      </c>
      <c r="CH152" s="2">
        <f>AC152-BX152-BY152+BZ152</f>
        <v>610676.32999999996</v>
      </c>
      <c r="CI152" s="2">
        <f>BY152-BZ152</f>
        <v>0</v>
      </c>
      <c r="CJ152" s="2">
        <f>ROUND(SUMIF(AA79:AA150,"=16808636",GX79:GX150),2)</f>
        <v>0</v>
      </c>
      <c r="CK152" s="2">
        <f>ROUND(SUMIF(AA79:AA150,"=16808636",GY79:GY150),2)</f>
        <v>0</v>
      </c>
      <c r="CL152" s="2">
        <f>ROUND(SUMIF(AA79:AA150,"=16808636",GZ79:GZ150),2)</f>
        <v>0</v>
      </c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  <c r="EC152" s="3"/>
      <c r="ED152" s="3"/>
      <c r="EE152" s="3"/>
      <c r="EF152" s="3"/>
      <c r="EG152" s="3"/>
      <c r="EH152" s="3"/>
      <c r="EI152" s="3"/>
      <c r="EJ152" s="3"/>
      <c r="EK152" s="3"/>
      <c r="EL152" s="3"/>
      <c r="EM152" s="3"/>
      <c r="EN152" s="3"/>
      <c r="EO152" s="3"/>
      <c r="EP152" s="3"/>
      <c r="EQ152" s="3"/>
      <c r="ER152" s="3"/>
      <c r="ES152" s="3"/>
      <c r="ET152" s="3"/>
      <c r="EU152" s="3"/>
      <c r="EV152" s="3"/>
      <c r="EW152" s="3"/>
      <c r="EX152" s="3"/>
      <c r="EY152" s="3"/>
      <c r="EZ152" s="3"/>
      <c r="FA152" s="3"/>
      <c r="FB152" s="3"/>
      <c r="FC152" s="3"/>
      <c r="FD152" s="3"/>
      <c r="FE152" s="3"/>
      <c r="FF152" s="3"/>
      <c r="FG152" s="3"/>
      <c r="FH152" s="3"/>
      <c r="FI152" s="3"/>
      <c r="FJ152" s="3"/>
      <c r="FK152" s="3"/>
      <c r="FL152" s="3"/>
      <c r="FM152" s="3"/>
      <c r="FN152" s="3"/>
      <c r="FO152" s="3"/>
      <c r="FP152" s="3"/>
      <c r="FQ152" s="3"/>
      <c r="FR152" s="3"/>
      <c r="FS152" s="3"/>
      <c r="FT152" s="3"/>
      <c r="FU152" s="3"/>
      <c r="FV152" s="3"/>
      <c r="FW152" s="3"/>
      <c r="FX152" s="3"/>
      <c r="FY152" s="3"/>
      <c r="FZ152" s="3"/>
      <c r="GA152" s="3"/>
      <c r="GB152" s="3"/>
      <c r="GC152" s="3"/>
      <c r="GD152" s="3"/>
      <c r="GE152" s="3"/>
      <c r="GF152" s="3"/>
      <c r="GG152" s="3"/>
      <c r="GH152" s="3"/>
      <c r="GI152" s="3"/>
      <c r="GJ152" s="3"/>
      <c r="GK152" s="3"/>
      <c r="GL152" s="3"/>
      <c r="GM152" s="3"/>
      <c r="GN152" s="3"/>
      <c r="GO152" s="3"/>
      <c r="GP152" s="3"/>
      <c r="GQ152" s="3"/>
      <c r="GR152" s="3"/>
      <c r="GS152" s="3"/>
      <c r="GT152" s="3"/>
      <c r="GU152" s="3"/>
      <c r="GV152" s="3"/>
      <c r="GW152" s="3"/>
      <c r="GX152" s="3">
        <v>0</v>
      </c>
    </row>
    <row r="154" spans="1:245" x14ac:dyDescent="0.2">
      <c r="A154" s="4">
        <v>50</v>
      </c>
      <c r="B154" s="4">
        <v>0</v>
      </c>
      <c r="C154" s="4">
        <v>0</v>
      </c>
      <c r="D154" s="4">
        <v>1</v>
      </c>
      <c r="E154" s="4">
        <v>201</v>
      </c>
      <c r="F154" s="4">
        <f>ROUND(Source!O152,O154)</f>
        <v>652338.69999999995</v>
      </c>
      <c r="G154" s="4" t="s">
        <v>118</v>
      </c>
      <c r="H154" s="4" t="s">
        <v>119</v>
      </c>
      <c r="I154" s="4"/>
      <c r="J154" s="4"/>
      <c r="K154" s="4">
        <v>201</v>
      </c>
      <c r="L154" s="4">
        <v>1</v>
      </c>
      <c r="M154" s="4">
        <v>3</v>
      </c>
      <c r="N154" s="4" t="s">
        <v>6</v>
      </c>
      <c r="O154" s="4">
        <v>2</v>
      </c>
      <c r="P154" s="4"/>
      <c r="Q154" s="4"/>
      <c r="R154" s="4"/>
      <c r="S154" s="4"/>
      <c r="T154" s="4"/>
      <c r="U154" s="4"/>
      <c r="V154" s="4"/>
      <c r="W154" s="4"/>
    </row>
    <row r="155" spans="1:245" x14ac:dyDescent="0.2">
      <c r="A155" s="4">
        <v>50</v>
      </c>
      <c r="B155" s="4">
        <v>0</v>
      </c>
      <c r="C155" s="4">
        <v>0</v>
      </c>
      <c r="D155" s="4">
        <v>1</v>
      </c>
      <c r="E155" s="4">
        <v>202</v>
      </c>
      <c r="F155" s="4">
        <f>ROUND(Source!P152,O155)</f>
        <v>610676.32999999996</v>
      </c>
      <c r="G155" s="4" t="s">
        <v>120</v>
      </c>
      <c r="H155" s="4" t="s">
        <v>121</v>
      </c>
      <c r="I155" s="4"/>
      <c r="J155" s="4"/>
      <c r="K155" s="4">
        <v>202</v>
      </c>
      <c r="L155" s="4">
        <v>2</v>
      </c>
      <c r="M155" s="4">
        <v>3</v>
      </c>
      <c r="N155" s="4" t="s">
        <v>6</v>
      </c>
      <c r="O155" s="4">
        <v>2</v>
      </c>
      <c r="P155" s="4"/>
      <c r="Q155" s="4"/>
      <c r="R155" s="4"/>
      <c r="S155" s="4"/>
      <c r="T155" s="4"/>
      <c r="U155" s="4"/>
      <c r="V155" s="4"/>
      <c r="W155" s="4"/>
    </row>
    <row r="156" spans="1:245" x14ac:dyDescent="0.2">
      <c r="A156" s="4">
        <v>50</v>
      </c>
      <c r="B156" s="4">
        <v>0</v>
      </c>
      <c r="C156" s="4">
        <v>0</v>
      </c>
      <c r="D156" s="4">
        <v>1</v>
      </c>
      <c r="E156" s="4">
        <v>222</v>
      </c>
      <c r="F156" s="4">
        <f>ROUND(Source!AO152,O156)</f>
        <v>0</v>
      </c>
      <c r="G156" s="4" t="s">
        <v>122</v>
      </c>
      <c r="H156" s="4" t="s">
        <v>123</v>
      </c>
      <c r="I156" s="4"/>
      <c r="J156" s="4"/>
      <c r="K156" s="4">
        <v>222</v>
      </c>
      <c r="L156" s="4">
        <v>3</v>
      </c>
      <c r="M156" s="4">
        <v>3</v>
      </c>
      <c r="N156" s="4" t="s">
        <v>6</v>
      </c>
      <c r="O156" s="4">
        <v>2</v>
      </c>
      <c r="P156" s="4"/>
      <c r="Q156" s="4"/>
      <c r="R156" s="4"/>
      <c r="S156" s="4"/>
      <c r="T156" s="4"/>
      <c r="U156" s="4"/>
      <c r="V156" s="4"/>
      <c r="W156" s="4"/>
    </row>
    <row r="157" spans="1:245" x14ac:dyDescent="0.2">
      <c r="A157" s="4">
        <v>50</v>
      </c>
      <c r="B157" s="4">
        <v>0</v>
      </c>
      <c r="C157" s="4">
        <v>0</v>
      </c>
      <c r="D157" s="4">
        <v>1</v>
      </c>
      <c r="E157" s="4">
        <v>225</v>
      </c>
      <c r="F157" s="4">
        <f>ROUND(Source!AV152,O157)</f>
        <v>610676.32999999996</v>
      </c>
      <c r="G157" s="4" t="s">
        <v>124</v>
      </c>
      <c r="H157" s="4" t="s">
        <v>125</v>
      </c>
      <c r="I157" s="4"/>
      <c r="J157" s="4"/>
      <c r="K157" s="4">
        <v>225</v>
      </c>
      <c r="L157" s="4">
        <v>4</v>
      </c>
      <c r="M157" s="4">
        <v>3</v>
      </c>
      <c r="N157" s="4" t="s">
        <v>6</v>
      </c>
      <c r="O157" s="4">
        <v>2</v>
      </c>
      <c r="P157" s="4"/>
      <c r="Q157" s="4"/>
      <c r="R157" s="4"/>
      <c r="S157" s="4"/>
      <c r="T157" s="4"/>
      <c r="U157" s="4"/>
      <c r="V157" s="4"/>
      <c r="W157" s="4"/>
    </row>
    <row r="158" spans="1:245" x14ac:dyDescent="0.2">
      <c r="A158" s="4">
        <v>50</v>
      </c>
      <c r="B158" s="4">
        <v>0</v>
      </c>
      <c r="C158" s="4">
        <v>0</v>
      </c>
      <c r="D158" s="4">
        <v>1</v>
      </c>
      <c r="E158" s="4">
        <v>226</v>
      </c>
      <c r="F158" s="4">
        <f>ROUND(Source!AW152,O158)</f>
        <v>610676.32999999996</v>
      </c>
      <c r="G158" s="4" t="s">
        <v>126</v>
      </c>
      <c r="H158" s="4" t="s">
        <v>127</v>
      </c>
      <c r="I158" s="4"/>
      <c r="J158" s="4"/>
      <c r="K158" s="4">
        <v>226</v>
      </c>
      <c r="L158" s="4">
        <v>5</v>
      </c>
      <c r="M158" s="4">
        <v>3</v>
      </c>
      <c r="N158" s="4" t="s">
        <v>6</v>
      </c>
      <c r="O158" s="4">
        <v>2</v>
      </c>
      <c r="P158" s="4"/>
      <c r="Q158" s="4"/>
      <c r="R158" s="4"/>
      <c r="S158" s="4"/>
      <c r="T158" s="4"/>
      <c r="U158" s="4"/>
      <c r="V158" s="4"/>
      <c r="W158" s="4"/>
    </row>
    <row r="159" spans="1:245" x14ac:dyDescent="0.2">
      <c r="A159" s="4">
        <v>50</v>
      </c>
      <c r="B159" s="4">
        <v>0</v>
      </c>
      <c r="C159" s="4">
        <v>0</v>
      </c>
      <c r="D159" s="4">
        <v>1</v>
      </c>
      <c r="E159" s="4">
        <v>227</v>
      </c>
      <c r="F159" s="4">
        <f>ROUND(Source!AX152,O159)</f>
        <v>0</v>
      </c>
      <c r="G159" s="4" t="s">
        <v>128</v>
      </c>
      <c r="H159" s="4" t="s">
        <v>129</v>
      </c>
      <c r="I159" s="4"/>
      <c r="J159" s="4"/>
      <c r="K159" s="4">
        <v>227</v>
      </c>
      <c r="L159" s="4">
        <v>6</v>
      </c>
      <c r="M159" s="4">
        <v>3</v>
      </c>
      <c r="N159" s="4" t="s">
        <v>6</v>
      </c>
      <c r="O159" s="4">
        <v>2</v>
      </c>
      <c r="P159" s="4"/>
      <c r="Q159" s="4"/>
      <c r="R159" s="4"/>
      <c r="S159" s="4"/>
      <c r="T159" s="4"/>
      <c r="U159" s="4"/>
      <c r="V159" s="4"/>
      <c r="W159" s="4"/>
    </row>
    <row r="160" spans="1:245" x14ac:dyDescent="0.2">
      <c r="A160" s="4">
        <v>50</v>
      </c>
      <c r="B160" s="4">
        <v>0</v>
      </c>
      <c r="C160" s="4">
        <v>0</v>
      </c>
      <c r="D160" s="4">
        <v>1</v>
      </c>
      <c r="E160" s="4">
        <v>228</v>
      </c>
      <c r="F160" s="4">
        <f>ROUND(Source!AY152,O160)</f>
        <v>610676.32999999996</v>
      </c>
      <c r="G160" s="4" t="s">
        <v>130</v>
      </c>
      <c r="H160" s="4" t="s">
        <v>131</v>
      </c>
      <c r="I160" s="4"/>
      <c r="J160" s="4"/>
      <c r="K160" s="4">
        <v>228</v>
      </c>
      <c r="L160" s="4">
        <v>7</v>
      </c>
      <c r="M160" s="4">
        <v>3</v>
      </c>
      <c r="N160" s="4" t="s">
        <v>6</v>
      </c>
      <c r="O160" s="4">
        <v>2</v>
      </c>
      <c r="P160" s="4"/>
      <c r="Q160" s="4"/>
      <c r="R160" s="4"/>
      <c r="S160" s="4"/>
      <c r="T160" s="4"/>
      <c r="U160" s="4"/>
      <c r="V160" s="4"/>
      <c r="W160" s="4"/>
    </row>
    <row r="161" spans="1:23" x14ac:dyDescent="0.2">
      <c r="A161" s="4">
        <v>50</v>
      </c>
      <c r="B161" s="4">
        <v>0</v>
      </c>
      <c r="C161" s="4">
        <v>0</v>
      </c>
      <c r="D161" s="4">
        <v>1</v>
      </c>
      <c r="E161" s="4">
        <v>216</v>
      </c>
      <c r="F161" s="4">
        <f>ROUND(Source!AP152,O161)</f>
        <v>0</v>
      </c>
      <c r="G161" s="4" t="s">
        <v>132</v>
      </c>
      <c r="H161" s="4" t="s">
        <v>133</v>
      </c>
      <c r="I161" s="4"/>
      <c r="J161" s="4"/>
      <c r="K161" s="4">
        <v>216</v>
      </c>
      <c r="L161" s="4">
        <v>8</v>
      </c>
      <c r="M161" s="4">
        <v>3</v>
      </c>
      <c r="N161" s="4" t="s">
        <v>6</v>
      </c>
      <c r="O161" s="4">
        <v>2</v>
      </c>
      <c r="P161" s="4"/>
      <c r="Q161" s="4"/>
      <c r="R161" s="4"/>
      <c r="S161" s="4"/>
      <c r="T161" s="4"/>
      <c r="U161" s="4"/>
      <c r="V161" s="4"/>
      <c r="W161" s="4"/>
    </row>
    <row r="162" spans="1:23" x14ac:dyDescent="0.2">
      <c r="A162" s="4">
        <v>50</v>
      </c>
      <c r="B162" s="4">
        <v>0</v>
      </c>
      <c r="C162" s="4">
        <v>0</v>
      </c>
      <c r="D162" s="4">
        <v>1</v>
      </c>
      <c r="E162" s="4">
        <v>223</v>
      </c>
      <c r="F162" s="4">
        <f>ROUND(Source!AQ152,O162)</f>
        <v>0</v>
      </c>
      <c r="G162" s="4" t="s">
        <v>134</v>
      </c>
      <c r="H162" s="4" t="s">
        <v>135</v>
      </c>
      <c r="I162" s="4"/>
      <c r="J162" s="4"/>
      <c r="K162" s="4">
        <v>223</v>
      </c>
      <c r="L162" s="4">
        <v>9</v>
      </c>
      <c r="M162" s="4">
        <v>3</v>
      </c>
      <c r="N162" s="4" t="s">
        <v>6</v>
      </c>
      <c r="O162" s="4">
        <v>2</v>
      </c>
      <c r="P162" s="4"/>
      <c r="Q162" s="4"/>
      <c r="R162" s="4"/>
      <c r="S162" s="4"/>
      <c r="T162" s="4"/>
      <c r="U162" s="4"/>
      <c r="V162" s="4"/>
      <c r="W162" s="4"/>
    </row>
    <row r="163" spans="1:23" x14ac:dyDescent="0.2">
      <c r="A163" s="4">
        <v>50</v>
      </c>
      <c r="B163" s="4">
        <v>0</v>
      </c>
      <c r="C163" s="4">
        <v>0</v>
      </c>
      <c r="D163" s="4">
        <v>1</v>
      </c>
      <c r="E163" s="4">
        <v>229</v>
      </c>
      <c r="F163" s="4">
        <f>ROUND(Source!AZ152,O163)</f>
        <v>0</v>
      </c>
      <c r="G163" s="4" t="s">
        <v>136</v>
      </c>
      <c r="H163" s="4" t="s">
        <v>137</v>
      </c>
      <c r="I163" s="4"/>
      <c r="J163" s="4"/>
      <c r="K163" s="4">
        <v>229</v>
      </c>
      <c r="L163" s="4">
        <v>10</v>
      </c>
      <c r="M163" s="4">
        <v>3</v>
      </c>
      <c r="N163" s="4" t="s">
        <v>6</v>
      </c>
      <c r="O163" s="4">
        <v>2</v>
      </c>
      <c r="P163" s="4"/>
      <c r="Q163" s="4"/>
      <c r="R163" s="4"/>
      <c r="S163" s="4"/>
      <c r="T163" s="4"/>
      <c r="U163" s="4"/>
      <c r="V163" s="4"/>
      <c r="W163" s="4"/>
    </row>
    <row r="164" spans="1:23" x14ac:dyDescent="0.2">
      <c r="A164" s="4">
        <v>50</v>
      </c>
      <c r="B164" s="4">
        <v>0</v>
      </c>
      <c r="C164" s="4">
        <v>0</v>
      </c>
      <c r="D164" s="4">
        <v>1</v>
      </c>
      <c r="E164" s="4">
        <v>203</v>
      </c>
      <c r="F164" s="4">
        <f>ROUND(Source!Q152,O164)</f>
        <v>3587.88</v>
      </c>
      <c r="G164" s="4" t="s">
        <v>138</v>
      </c>
      <c r="H164" s="4" t="s">
        <v>139</v>
      </c>
      <c r="I164" s="4"/>
      <c r="J164" s="4"/>
      <c r="K164" s="4">
        <v>203</v>
      </c>
      <c r="L164" s="4">
        <v>11</v>
      </c>
      <c r="M164" s="4">
        <v>3</v>
      </c>
      <c r="N164" s="4" t="s">
        <v>6</v>
      </c>
      <c r="O164" s="4">
        <v>2</v>
      </c>
      <c r="P164" s="4"/>
      <c r="Q164" s="4"/>
      <c r="R164" s="4"/>
      <c r="S164" s="4"/>
      <c r="T164" s="4"/>
      <c r="U164" s="4"/>
      <c r="V164" s="4"/>
      <c r="W164" s="4"/>
    </row>
    <row r="165" spans="1:23" x14ac:dyDescent="0.2">
      <c r="A165" s="4">
        <v>50</v>
      </c>
      <c r="B165" s="4">
        <v>0</v>
      </c>
      <c r="C165" s="4">
        <v>0</v>
      </c>
      <c r="D165" s="4">
        <v>1</v>
      </c>
      <c r="E165" s="4">
        <v>231</v>
      </c>
      <c r="F165" s="4">
        <f>ROUND(Source!BB152,O165)</f>
        <v>0</v>
      </c>
      <c r="G165" s="4" t="s">
        <v>140</v>
      </c>
      <c r="H165" s="4" t="s">
        <v>141</v>
      </c>
      <c r="I165" s="4"/>
      <c r="J165" s="4"/>
      <c r="K165" s="4">
        <v>231</v>
      </c>
      <c r="L165" s="4">
        <v>12</v>
      </c>
      <c r="M165" s="4">
        <v>3</v>
      </c>
      <c r="N165" s="4" t="s">
        <v>6</v>
      </c>
      <c r="O165" s="4">
        <v>2</v>
      </c>
      <c r="P165" s="4"/>
      <c r="Q165" s="4"/>
      <c r="R165" s="4"/>
      <c r="S165" s="4"/>
      <c r="T165" s="4"/>
      <c r="U165" s="4"/>
      <c r="V165" s="4"/>
      <c r="W165" s="4"/>
    </row>
    <row r="166" spans="1:23" x14ac:dyDescent="0.2">
      <c r="A166" s="4">
        <v>50</v>
      </c>
      <c r="B166" s="4">
        <v>0</v>
      </c>
      <c r="C166" s="4">
        <v>0</v>
      </c>
      <c r="D166" s="4">
        <v>1</v>
      </c>
      <c r="E166" s="4">
        <v>204</v>
      </c>
      <c r="F166" s="4">
        <f>ROUND(Source!R152,O166)</f>
        <v>963.99</v>
      </c>
      <c r="G166" s="4" t="s">
        <v>142</v>
      </c>
      <c r="H166" s="4" t="s">
        <v>143</v>
      </c>
      <c r="I166" s="4"/>
      <c r="J166" s="4"/>
      <c r="K166" s="4">
        <v>204</v>
      </c>
      <c r="L166" s="4">
        <v>13</v>
      </c>
      <c r="M166" s="4">
        <v>3</v>
      </c>
      <c r="N166" s="4" t="s">
        <v>6</v>
      </c>
      <c r="O166" s="4">
        <v>2</v>
      </c>
      <c r="P166" s="4"/>
      <c r="Q166" s="4"/>
      <c r="R166" s="4"/>
      <c r="S166" s="4"/>
      <c r="T166" s="4"/>
      <c r="U166" s="4"/>
      <c r="V166" s="4"/>
      <c r="W166" s="4"/>
    </row>
    <row r="167" spans="1:23" x14ac:dyDescent="0.2">
      <c r="A167" s="4">
        <v>50</v>
      </c>
      <c r="B167" s="4">
        <v>0</v>
      </c>
      <c r="C167" s="4">
        <v>0</v>
      </c>
      <c r="D167" s="4">
        <v>1</v>
      </c>
      <c r="E167" s="4">
        <v>205</v>
      </c>
      <c r="F167" s="4">
        <f>ROUND(Source!S152,O167)</f>
        <v>38074.49</v>
      </c>
      <c r="G167" s="4" t="s">
        <v>144</v>
      </c>
      <c r="H167" s="4" t="s">
        <v>145</v>
      </c>
      <c r="I167" s="4"/>
      <c r="J167" s="4"/>
      <c r="K167" s="4">
        <v>205</v>
      </c>
      <c r="L167" s="4">
        <v>14</v>
      </c>
      <c r="M167" s="4">
        <v>3</v>
      </c>
      <c r="N167" s="4" t="s">
        <v>6</v>
      </c>
      <c r="O167" s="4">
        <v>2</v>
      </c>
      <c r="P167" s="4"/>
      <c r="Q167" s="4"/>
      <c r="R167" s="4"/>
      <c r="S167" s="4"/>
      <c r="T167" s="4"/>
      <c r="U167" s="4"/>
      <c r="V167" s="4"/>
      <c r="W167" s="4"/>
    </row>
    <row r="168" spans="1:23" x14ac:dyDescent="0.2">
      <c r="A168" s="4">
        <v>50</v>
      </c>
      <c r="B168" s="4">
        <v>0</v>
      </c>
      <c r="C168" s="4">
        <v>0</v>
      </c>
      <c r="D168" s="4">
        <v>1</v>
      </c>
      <c r="E168" s="4">
        <v>232</v>
      </c>
      <c r="F168" s="4">
        <f>ROUND(Source!BC152,O168)</f>
        <v>0</v>
      </c>
      <c r="G168" s="4" t="s">
        <v>146</v>
      </c>
      <c r="H168" s="4" t="s">
        <v>147</v>
      </c>
      <c r="I168" s="4"/>
      <c r="J168" s="4"/>
      <c r="K168" s="4">
        <v>232</v>
      </c>
      <c r="L168" s="4">
        <v>15</v>
      </c>
      <c r="M168" s="4">
        <v>3</v>
      </c>
      <c r="N168" s="4" t="s">
        <v>6</v>
      </c>
      <c r="O168" s="4">
        <v>2</v>
      </c>
      <c r="P168" s="4"/>
      <c r="Q168" s="4"/>
      <c r="R168" s="4"/>
      <c r="S168" s="4"/>
      <c r="T168" s="4"/>
      <c r="U168" s="4"/>
      <c r="V168" s="4"/>
      <c r="W168" s="4"/>
    </row>
    <row r="169" spans="1:23" x14ac:dyDescent="0.2">
      <c r="A169" s="4">
        <v>50</v>
      </c>
      <c r="B169" s="4">
        <v>0</v>
      </c>
      <c r="C169" s="4">
        <v>0</v>
      </c>
      <c r="D169" s="4">
        <v>1</v>
      </c>
      <c r="E169" s="4">
        <v>214</v>
      </c>
      <c r="F169" s="4">
        <f>ROUND(Source!AS152,O169)</f>
        <v>713256.71</v>
      </c>
      <c r="G169" s="4" t="s">
        <v>148</v>
      </c>
      <c r="H169" s="4" t="s">
        <v>149</v>
      </c>
      <c r="I169" s="4"/>
      <c r="J169" s="4"/>
      <c r="K169" s="4">
        <v>214</v>
      </c>
      <c r="L169" s="4">
        <v>16</v>
      </c>
      <c r="M169" s="4">
        <v>3</v>
      </c>
      <c r="N169" s="4" t="s">
        <v>6</v>
      </c>
      <c r="O169" s="4">
        <v>2</v>
      </c>
      <c r="P169" s="4"/>
      <c r="Q169" s="4"/>
      <c r="R169" s="4"/>
      <c r="S169" s="4"/>
      <c r="T169" s="4"/>
      <c r="U169" s="4"/>
      <c r="V169" s="4"/>
      <c r="W169" s="4"/>
    </row>
    <row r="170" spans="1:23" x14ac:dyDescent="0.2">
      <c r="A170" s="4">
        <v>50</v>
      </c>
      <c r="B170" s="4">
        <v>0</v>
      </c>
      <c r="C170" s="4">
        <v>0</v>
      </c>
      <c r="D170" s="4">
        <v>1</v>
      </c>
      <c r="E170" s="4">
        <v>215</v>
      </c>
      <c r="F170" s="4">
        <f>ROUND(Source!AT152,O170)</f>
        <v>0</v>
      </c>
      <c r="G170" s="4" t="s">
        <v>150</v>
      </c>
      <c r="H170" s="4" t="s">
        <v>151</v>
      </c>
      <c r="I170" s="4"/>
      <c r="J170" s="4"/>
      <c r="K170" s="4">
        <v>215</v>
      </c>
      <c r="L170" s="4">
        <v>17</v>
      </c>
      <c r="M170" s="4">
        <v>3</v>
      </c>
      <c r="N170" s="4" t="s">
        <v>6</v>
      </c>
      <c r="O170" s="4">
        <v>2</v>
      </c>
      <c r="P170" s="4"/>
      <c r="Q170" s="4"/>
      <c r="R170" s="4"/>
      <c r="S170" s="4"/>
      <c r="T170" s="4"/>
      <c r="U170" s="4"/>
      <c r="V170" s="4"/>
      <c r="W170" s="4"/>
    </row>
    <row r="171" spans="1:23" x14ac:dyDescent="0.2">
      <c r="A171" s="4">
        <v>50</v>
      </c>
      <c r="B171" s="4">
        <v>0</v>
      </c>
      <c r="C171" s="4">
        <v>0</v>
      </c>
      <c r="D171" s="4">
        <v>1</v>
      </c>
      <c r="E171" s="4">
        <v>217</v>
      </c>
      <c r="F171" s="4">
        <f>ROUND(Source!AU152,O171)</f>
        <v>0</v>
      </c>
      <c r="G171" s="4" t="s">
        <v>152</v>
      </c>
      <c r="H171" s="4" t="s">
        <v>153</v>
      </c>
      <c r="I171" s="4"/>
      <c r="J171" s="4"/>
      <c r="K171" s="4">
        <v>217</v>
      </c>
      <c r="L171" s="4">
        <v>18</v>
      </c>
      <c r="M171" s="4">
        <v>3</v>
      </c>
      <c r="N171" s="4" t="s">
        <v>6</v>
      </c>
      <c r="O171" s="4">
        <v>2</v>
      </c>
      <c r="P171" s="4"/>
      <c r="Q171" s="4"/>
      <c r="R171" s="4"/>
      <c r="S171" s="4"/>
      <c r="T171" s="4"/>
      <c r="U171" s="4"/>
      <c r="V171" s="4"/>
      <c r="W171" s="4"/>
    </row>
    <row r="172" spans="1:23" x14ac:dyDescent="0.2">
      <c r="A172" s="4">
        <v>50</v>
      </c>
      <c r="B172" s="4">
        <v>0</v>
      </c>
      <c r="C172" s="4">
        <v>0</v>
      </c>
      <c r="D172" s="4">
        <v>1</v>
      </c>
      <c r="E172" s="4">
        <v>230</v>
      </c>
      <c r="F172" s="4">
        <f>ROUND(Source!BA152,O172)</f>
        <v>0</v>
      </c>
      <c r="G172" s="4" t="s">
        <v>154</v>
      </c>
      <c r="H172" s="4" t="s">
        <v>155</v>
      </c>
      <c r="I172" s="4"/>
      <c r="J172" s="4"/>
      <c r="K172" s="4">
        <v>230</v>
      </c>
      <c r="L172" s="4">
        <v>19</v>
      </c>
      <c r="M172" s="4">
        <v>3</v>
      </c>
      <c r="N172" s="4" t="s">
        <v>6</v>
      </c>
      <c r="O172" s="4">
        <v>2</v>
      </c>
      <c r="P172" s="4"/>
      <c r="Q172" s="4"/>
      <c r="R172" s="4"/>
      <c r="S172" s="4"/>
      <c r="T172" s="4"/>
      <c r="U172" s="4"/>
      <c r="V172" s="4"/>
      <c r="W172" s="4"/>
    </row>
    <row r="173" spans="1:23" x14ac:dyDescent="0.2">
      <c r="A173" s="4">
        <v>50</v>
      </c>
      <c r="B173" s="4">
        <v>0</v>
      </c>
      <c r="C173" s="4">
        <v>0</v>
      </c>
      <c r="D173" s="4">
        <v>1</v>
      </c>
      <c r="E173" s="4">
        <v>206</v>
      </c>
      <c r="F173" s="4">
        <f>ROUND(Source!T152,O173)</f>
        <v>0</v>
      </c>
      <c r="G173" s="4" t="s">
        <v>156</v>
      </c>
      <c r="H173" s="4" t="s">
        <v>157</v>
      </c>
      <c r="I173" s="4"/>
      <c r="J173" s="4"/>
      <c r="K173" s="4">
        <v>206</v>
      </c>
      <c r="L173" s="4">
        <v>20</v>
      </c>
      <c r="M173" s="4">
        <v>3</v>
      </c>
      <c r="N173" s="4" t="s">
        <v>6</v>
      </c>
      <c r="O173" s="4">
        <v>2</v>
      </c>
      <c r="P173" s="4"/>
      <c r="Q173" s="4"/>
      <c r="R173" s="4"/>
      <c r="S173" s="4"/>
      <c r="T173" s="4"/>
      <c r="U173" s="4"/>
      <c r="V173" s="4"/>
      <c r="W173" s="4"/>
    </row>
    <row r="174" spans="1:23" x14ac:dyDescent="0.2">
      <c r="A174" s="4">
        <v>50</v>
      </c>
      <c r="B174" s="4">
        <v>0</v>
      </c>
      <c r="C174" s="4">
        <v>0</v>
      </c>
      <c r="D174" s="4">
        <v>1</v>
      </c>
      <c r="E174" s="4">
        <v>207</v>
      </c>
      <c r="F174" s="4">
        <f>Source!U152</f>
        <v>656.53464069999973</v>
      </c>
      <c r="G174" s="4" t="s">
        <v>158</v>
      </c>
      <c r="H174" s="4" t="s">
        <v>159</v>
      </c>
      <c r="I174" s="4"/>
      <c r="J174" s="4"/>
      <c r="K174" s="4">
        <v>207</v>
      </c>
      <c r="L174" s="4">
        <v>21</v>
      </c>
      <c r="M174" s="4">
        <v>3</v>
      </c>
      <c r="N174" s="4" t="s">
        <v>6</v>
      </c>
      <c r="O174" s="4">
        <v>-1</v>
      </c>
      <c r="P174" s="4"/>
      <c r="Q174" s="4"/>
      <c r="R174" s="4"/>
      <c r="S174" s="4"/>
      <c r="T174" s="4"/>
      <c r="U174" s="4"/>
      <c r="V174" s="4"/>
      <c r="W174" s="4"/>
    </row>
    <row r="175" spans="1:23" x14ac:dyDescent="0.2">
      <c r="A175" s="4">
        <v>50</v>
      </c>
      <c r="B175" s="4">
        <v>0</v>
      </c>
      <c r="C175" s="4">
        <v>0</v>
      </c>
      <c r="D175" s="4">
        <v>1</v>
      </c>
      <c r="E175" s="4">
        <v>208</v>
      </c>
      <c r="F175" s="4">
        <f>Source!V152</f>
        <v>11.325867000000001</v>
      </c>
      <c r="G175" s="4" t="s">
        <v>160</v>
      </c>
      <c r="H175" s="4" t="s">
        <v>161</v>
      </c>
      <c r="I175" s="4"/>
      <c r="J175" s="4"/>
      <c r="K175" s="4">
        <v>208</v>
      </c>
      <c r="L175" s="4">
        <v>22</v>
      </c>
      <c r="M175" s="4">
        <v>3</v>
      </c>
      <c r="N175" s="4" t="s">
        <v>6</v>
      </c>
      <c r="O175" s="4">
        <v>-1</v>
      </c>
      <c r="P175" s="4"/>
      <c r="Q175" s="4"/>
      <c r="R175" s="4"/>
      <c r="S175" s="4"/>
      <c r="T175" s="4"/>
      <c r="U175" s="4"/>
      <c r="V175" s="4"/>
      <c r="W175" s="4"/>
    </row>
    <row r="176" spans="1:23" x14ac:dyDescent="0.2">
      <c r="A176" s="4">
        <v>50</v>
      </c>
      <c r="B176" s="4">
        <v>0</v>
      </c>
      <c r="C176" s="4">
        <v>0</v>
      </c>
      <c r="D176" s="4">
        <v>1</v>
      </c>
      <c r="E176" s="4">
        <v>209</v>
      </c>
      <c r="F176" s="4">
        <f>ROUND(Source!W152,O176)</f>
        <v>0</v>
      </c>
      <c r="G176" s="4" t="s">
        <v>162</v>
      </c>
      <c r="H176" s="4" t="s">
        <v>163</v>
      </c>
      <c r="I176" s="4"/>
      <c r="J176" s="4"/>
      <c r="K176" s="4">
        <v>209</v>
      </c>
      <c r="L176" s="4">
        <v>23</v>
      </c>
      <c r="M176" s="4">
        <v>3</v>
      </c>
      <c r="N176" s="4" t="s">
        <v>6</v>
      </c>
      <c r="O176" s="4">
        <v>2</v>
      </c>
      <c r="P176" s="4"/>
      <c r="Q176" s="4"/>
      <c r="R176" s="4"/>
      <c r="S176" s="4"/>
      <c r="T176" s="4"/>
      <c r="U176" s="4"/>
      <c r="V176" s="4"/>
      <c r="W176" s="4"/>
    </row>
    <row r="177" spans="1:245" x14ac:dyDescent="0.2">
      <c r="A177" s="4">
        <v>50</v>
      </c>
      <c r="B177" s="4">
        <v>0</v>
      </c>
      <c r="C177" s="4">
        <v>0</v>
      </c>
      <c r="D177" s="4">
        <v>1</v>
      </c>
      <c r="E177" s="4">
        <v>210</v>
      </c>
      <c r="F177" s="4">
        <f>ROUND(Source!X152,O177)</f>
        <v>38000.54</v>
      </c>
      <c r="G177" s="4" t="s">
        <v>164</v>
      </c>
      <c r="H177" s="4" t="s">
        <v>165</v>
      </c>
      <c r="I177" s="4"/>
      <c r="J177" s="4"/>
      <c r="K177" s="4">
        <v>210</v>
      </c>
      <c r="L177" s="4">
        <v>24</v>
      </c>
      <c r="M177" s="4">
        <v>3</v>
      </c>
      <c r="N177" s="4" t="s">
        <v>6</v>
      </c>
      <c r="O177" s="4">
        <v>2</v>
      </c>
      <c r="P177" s="4"/>
      <c r="Q177" s="4"/>
      <c r="R177" s="4"/>
      <c r="S177" s="4"/>
      <c r="T177" s="4"/>
      <c r="U177" s="4"/>
      <c r="V177" s="4"/>
      <c r="W177" s="4"/>
    </row>
    <row r="178" spans="1:245" x14ac:dyDescent="0.2">
      <c r="A178" s="4">
        <v>50</v>
      </c>
      <c r="B178" s="4">
        <v>0</v>
      </c>
      <c r="C178" s="4">
        <v>0</v>
      </c>
      <c r="D178" s="4">
        <v>1</v>
      </c>
      <c r="E178" s="4">
        <v>211</v>
      </c>
      <c r="F178" s="4">
        <f>ROUND(Source!Y152,O178)</f>
        <v>22112.47</v>
      </c>
      <c r="G178" s="4" t="s">
        <v>166</v>
      </c>
      <c r="H178" s="4" t="s">
        <v>167</v>
      </c>
      <c r="I178" s="4"/>
      <c r="J178" s="4"/>
      <c r="K178" s="4">
        <v>211</v>
      </c>
      <c r="L178" s="4">
        <v>25</v>
      </c>
      <c r="M178" s="4">
        <v>3</v>
      </c>
      <c r="N178" s="4" t="s">
        <v>6</v>
      </c>
      <c r="O178" s="4">
        <v>2</v>
      </c>
      <c r="P178" s="4"/>
      <c r="Q178" s="4"/>
      <c r="R178" s="4"/>
      <c r="S178" s="4"/>
      <c r="T178" s="4"/>
      <c r="U178" s="4"/>
      <c r="V178" s="4"/>
      <c r="W178" s="4"/>
    </row>
    <row r="179" spans="1:245" x14ac:dyDescent="0.2">
      <c r="A179" s="4">
        <v>50</v>
      </c>
      <c r="B179" s="4">
        <v>0</v>
      </c>
      <c r="C179" s="4">
        <v>0</v>
      </c>
      <c r="D179" s="4">
        <v>1</v>
      </c>
      <c r="E179" s="4">
        <v>224</v>
      </c>
      <c r="F179" s="4">
        <f>ROUND(Source!AR152,O179)</f>
        <v>713256.71</v>
      </c>
      <c r="G179" s="4" t="s">
        <v>168</v>
      </c>
      <c r="H179" s="4" t="s">
        <v>169</v>
      </c>
      <c r="I179" s="4"/>
      <c r="J179" s="4"/>
      <c r="K179" s="4">
        <v>224</v>
      </c>
      <c r="L179" s="4">
        <v>26</v>
      </c>
      <c r="M179" s="4">
        <v>3</v>
      </c>
      <c r="N179" s="4" t="s">
        <v>6</v>
      </c>
      <c r="O179" s="4">
        <v>2</v>
      </c>
      <c r="P179" s="4"/>
      <c r="Q179" s="4"/>
      <c r="R179" s="4"/>
      <c r="S179" s="4"/>
      <c r="T179" s="4"/>
      <c r="U179" s="4"/>
      <c r="V179" s="4"/>
      <c r="W179" s="4"/>
    </row>
    <row r="181" spans="1:245" x14ac:dyDescent="0.2">
      <c r="A181" s="1">
        <v>4</v>
      </c>
      <c r="B181" s="1">
        <v>1</v>
      </c>
      <c r="C181" s="1"/>
      <c r="D181" s="1">
        <f>ROW(A215)</f>
        <v>215</v>
      </c>
      <c r="E181" s="1"/>
      <c r="F181" s="1" t="s">
        <v>13</v>
      </c>
      <c r="G181" s="1" t="s">
        <v>31</v>
      </c>
      <c r="H181" s="1" t="s">
        <v>6</v>
      </c>
      <c r="I181" s="1">
        <v>0</v>
      </c>
      <c r="J181" s="1"/>
      <c r="K181" s="1">
        <v>0</v>
      </c>
      <c r="L181" s="1"/>
      <c r="M181" s="1"/>
      <c r="N181" s="1"/>
      <c r="O181" s="1"/>
      <c r="P181" s="1"/>
      <c r="Q181" s="1"/>
      <c r="R181" s="1"/>
      <c r="S181" s="1"/>
      <c r="T181" s="1"/>
      <c r="U181" s="1" t="s">
        <v>6</v>
      </c>
      <c r="V181" s="1">
        <v>0</v>
      </c>
      <c r="W181" s="1"/>
      <c r="X181" s="1"/>
      <c r="Y181" s="1"/>
      <c r="Z181" s="1"/>
      <c r="AA181" s="1"/>
      <c r="AB181" s="1" t="s">
        <v>6</v>
      </c>
      <c r="AC181" s="1" t="s">
        <v>6</v>
      </c>
      <c r="AD181" s="1" t="s">
        <v>6</v>
      </c>
      <c r="AE181" s="1" t="s">
        <v>6</v>
      </c>
      <c r="AF181" s="1" t="s">
        <v>6</v>
      </c>
      <c r="AG181" s="1" t="s">
        <v>6</v>
      </c>
      <c r="AH181" s="1"/>
      <c r="AI181" s="1"/>
      <c r="AJ181" s="1"/>
      <c r="AK181" s="1"/>
      <c r="AL181" s="1"/>
      <c r="AM181" s="1"/>
      <c r="AN181" s="1"/>
      <c r="AO181" s="1"/>
      <c r="AP181" s="1" t="s">
        <v>6</v>
      </c>
      <c r="AQ181" s="1" t="s">
        <v>6</v>
      </c>
      <c r="AR181" s="1" t="s">
        <v>6</v>
      </c>
      <c r="AS181" s="1"/>
      <c r="AT181" s="1"/>
      <c r="AU181" s="1"/>
      <c r="AV181" s="1"/>
      <c r="AW181" s="1"/>
      <c r="AX181" s="1"/>
      <c r="AY181" s="1"/>
      <c r="AZ181" s="1" t="s">
        <v>6</v>
      </c>
      <c r="BA181" s="1"/>
      <c r="BB181" s="1" t="s">
        <v>6</v>
      </c>
      <c r="BC181" s="1" t="s">
        <v>6</v>
      </c>
      <c r="BD181" s="1" t="s">
        <v>6</v>
      </c>
      <c r="BE181" s="1" t="s">
        <v>6</v>
      </c>
      <c r="BF181" s="1" t="s">
        <v>6</v>
      </c>
      <c r="BG181" s="1" t="s">
        <v>6</v>
      </c>
      <c r="BH181" s="1" t="s">
        <v>6</v>
      </c>
      <c r="BI181" s="1" t="s">
        <v>6</v>
      </c>
      <c r="BJ181" s="1" t="s">
        <v>6</v>
      </c>
      <c r="BK181" s="1" t="s">
        <v>6</v>
      </c>
      <c r="BL181" s="1" t="s">
        <v>6</v>
      </c>
      <c r="BM181" s="1" t="s">
        <v>6</v>
      </c>
      <c r="BN181" s="1" t="s">
        <v>6</v>
      </c>
      <c r="BO181" s="1" t="s">
        <v>6</v>
      </c>
      <c r="BP181" s="1" t="s">
        <v>6</v>
      </c>
      <c r="BQ181" s="1"/>
      <c r="BR181" s="1"/>
      <c r="BS181" s="1"/>
      <c r="BT181" s="1"/>
      <c r="BU181" s="1"/>
      <c r="BV181" s="1"/>
      <c r="BW181" s="1"/>
      <c r="BX181" s="1">
        <v>0</v>
      </c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>
        <v>0</v>
      </c>
    </row>
    <row r="183" spans="1:245" x14ac:dyDescent="0.2">
      <c r="A183" s="2">
        <v>52</v>
      </c>
      <c r="B183" s="2">
        <f t="shared" ref="B183:G183" si="203">B215</f>
        <v>1</v>
      </c>
      <c r="C183" s="2">
        <f t="shared" si="203"/>
        <v>4</v>
      </c>
      <c r="D183" s="2">
        <f t="shared" si="203"/>
        <v>181</v>
      </c>
      <c r="E183" s="2">
        <f t="shared" si="203"/>
        <v>0</v>
      </c>
      <c r="F183" s="2" t="str">
        <f t="shared" si="203"/>
        <v>Новый раздел</v>
      </c>
      <c r="G183" s="2" t="str">
        <f t="shared" si="203"/>
        <v>Электромонтажные работы</v>
      </c>
      <c r="H183" s="2"/>
      <c r="I183" s="2"/>
      <c r="J183" s="2"/>
      <c r="K183" s="2"/>
      <c r="L183" s="2"/>
      <c r="M183" s="2"/>
      <c r="N183" s="2"/>
      <c r="O183" s="2">
        <f t="shared" ref="O183:AT183" si="204">O215</f>
        <v>248366.4</v>
      </c>
      <c r="P183" s="2">
        <f t="shared" si="204"/>
        <v>223010.96</v>
      </c>
      <c r="Q183" s="2">
        <f t="shared" si="204"/>
        <v>1776.96</v>
      </c>
      <c r="R183" s="2">
        <f t="shared" si="204"/>
        <v>210.96</v>
      </c>
      <c r="S183" s="2">
        <f t="shared" si="204"/>
        <v>23578.48</v>
      </c>
      <c r="T183" s="2">
        <f t="shared" si="204"/>
        <v>0</v>
      </c>
      <c r="U183" s="2">
        <f t="shared" si="204"/>
        <v>365.70127199999996</v>
      </c>
      <c r="V183" s="2">
        <f t="shared" si="204"/>
        <v>2.495304</v>
      </c>
      <c r="W183" s="2">
        <f t="shared" si="204"/>
        <v>0</v>
      </c>
      <c r="X183" s="2">
        <f t="shared" si="204"/>
        <v>22283.439999999999</v>
      </c>
      <c r="Y183" s="2">
        <f t="shared" si="204"/>
        <v>15319.63</v>
      </c>
      <c r="Z183" s="2">
        <f t="shared" si="204"/>
        <v>0</v>
      </c>
      <c r="AA183" s="2">
        <f t="shared" si="204"/>
        <v>0</v>
      </c>
      <c r="AB183" s="2">
        <f t="shared" si="204"/>
        <v>248366.4</v>
      </c>
      <c r="AC183" s="2">
        <f t="shared" si="204"/>
        <v>223010.96</v>
      </c>
      <c r="AD183" s="2">
        <f t="shared" si="204"/>
        <v>1776.96</v>
      </c>
      <c r="AE183" s="2">
        <f t="shared" si="204"/>
        <v>210.96</v>
      </c>
      <c r="AF183" s="2">
        <f t="shared" si="204"/>
        <v>23578.48</v>
      </c>
      <c r="AG183" s="2">
        <f t="shared" si="204"/>
        <v>0</v>
      </c>
      <c r="AH183" s="2">
        <f t="shared" si="204"/>
        <v>365.70127199999996</v>
      </c>
      <c r="AI183" s="2">
        <f t="shared" si="204"/>
        <v>2.495304</v>
      </c>
      <c r="AJ183" s="2">
        <f t="shared" si="204"/>
        <v>0</v>
      </c>
      <c r="AK183" s="2">
        <f t="shared" si="204"/>
        <v>22283.439999999999</v>
      </c>
      <c r="AL183" s="2">
        <f t="shared" si="204"/>
        <v>15319.63</v>
      </c>
      <c r="AM183" s="2">
        <f t="shared" si="204"/>
        <v>0</v>
      </c>
      <c r="AN183" s="2">
        <f t="shared" si="204"/>
        <v>0</v>
      </c>
      <c r="AO183" s="2">
        <f t="shared" si="204"/>
        <v>0</v>
      </c>
      <c r="AP183" s="2">
        <f t="shared" si="204"/>
        <v>0</v>
      </c>
      <c r="AQ183" s="2">
        <f t="shared" si="204"/>
        <v>0</v>
      </c>
      <c r="AR183" s="2">
        <f t="shared" si="204"/>
        <v>285969.46999999997</v>
      </c>
      <c r="AS183" s="2">
        <f t="shared" si="204"/>
        <v>1142.72</v>
      </c>
      <c r="AT183" s="2">
        <f t="shared" si="204"/>
        <v>284826.75</v>
      </c>
      <c r="AU183" s="2">
        <f t="shared" ref="AU183:BZ183" si="205">AU215</f>
        <v>0</v>
      </c>
      <c r="AV183" s="2">
        <f t="shared" si="205"/>
        <v>223010.96</v>
      </c>
      <c r="AW183" s="2">
        <f t="shared" si="205"/>
        <v>223010.96</v>
      </c>
      <c r="AX183" s="2">
        <f t="shared" si="205"/>
        <v>0</v>
      </c>
      <c r="AY183" s="2">
        <f t="shared" si="205"/>
        <v>223010.96</v>
      </c>
      <c r="AZ183" s="2">
        <f t="shared" si="205"/>
        <v>0</v>
      </c>
      <c r="BA183" s="2">
        <f t="shared" si="205"/>
        <v>0</v>
      </c>
      <c r="BB183" s="2">
        <f t="shared" si="205"/>
        <v>0</v>
      </c>
      <c r="BC183" s="2">
        <f t="shared" si="205"/>
        <v>0</v>
      </c>
      <c r="BD183" s="2">
        <f t="shared" si="205"/>
        <v>0</v>
      </c>
      <c r="BE183" s="2">
        <f t="shared" si="205"/>
        <v>0</v>
      </c>
      <c r="BF183" s="2">
        <f t="shared" si="205"/>
        <v>0</v>
      </c>
      <c r="BG183" s="2">
        <f t="shared" si="205"/>
        <v>0</v>
      </c>
      <c r="BH183" s="2">
        <f t="shared" si="205"/>
        <v>0</v>
      </c>
      <c r="BI183" s="2">
        <f t="shared" si="205"/>
        <v>0</v>
      </c>
      <c r="BJ183" s="2">
        <f t="shared" si="205"/>
        <v>0</v>
      </c>
      <c r="BK183" s="2">
        <f t="shared" si="205"/>
        <v>0</v>
      </c>
      <c r="BL183" s="2">
        <f t="shared" si="205"/>
        <v>0</v>
      </c>
      <c r="BM183" s="2">
        <f t="shared" si="205"/>
        <v>0</v>
      </c>
      <c r="BN183" s="2">
        <f t="shared" si="205"/>
        <v>0</v>
      </c>
      <c r="BO183" s="2">
        <f t="shared" si="205"/>
        <v>0</v>
      </c>
      <c r="BP183" s="2">
        <f t="shared" si="205"/>
        <v>0</v>
      </c>
      <c r="BQ183" s="2">
        <f t="shared" si="205"/>
        <v>0</v>
      </c>
      <c r="BR183" s="2">
        <f t="shared" si="205"/>
        <v>0</v>
      </c>
      <c r="BS183" s="2">
        <f t="shared" si="205"/>
        <v>0</v>
      </c>
      <c r="BT183" s="2">
        <f t="shared" si="205"/>
        <v>0</v>
      </c>
      <c r="BU183" s="2">
        <f t="shared" si="205"/>
        <v>0</v>
      </c>
      <c r="BV183" s="2">
        <f t="shared" si="205"/>
        <v>0</v>
      </c>
      <c r="BW183" s="2">
        <f t="shared" si="205"/>
        <v>0</v>
      </c>
      <c r="BX183" s="2">
        <f t="shared" si="205"/>
        <v>0</v>
      </c>
      <c r="BY183" s="2">
        <f t="shared" si="205"/>
        <v>0</v>
      </c>
      <c r="BZ183" s="2">
        <f t="shared" si="205"/>
        <v>0</v>
      </c>
      <c r="CA183" s="2">
        <f t="shared" ref="CA183:DF183" si="206">CA215</f>
        <v>285969.46999999997</v>
      </c>
      <c r="CB183" s="2">
        <f t="shared" si="206"/>
        <v>1142.72</v>
      </c>
      <c r="CC183" s="2">
        <f t="shared" si="206"/>
        <v>284826.75</v>
      </c>
      <c r="CD183" s="2">
        <f t="shared" si="206"/>
        <v>0</v>
      </c>
      <c r="CE183" s="2">
        <f t="shared" si="206"/>
        <v>223010.96</v>
      </c>
      <c r="CF183" s="2">
        <f t="shared" si="206"/>
        <v>223010.96</v>
      </c>
      <c r="CG183" s="2">
        <f t="shared" si="206"/>
        <v>0</v>
      </c>
      <c r="CH183" s="2">
        <f t="shared" si="206"/>
        <v>223010.96</v>
      </c>
      <c r="CI183" s="2">
        <f t="shared" si="206"/>
        <v>0</v>
      </c>
      <c r="CJ183" s="2">
        <f t="shared" si="206"/>
        <v>0</v>
      </c>
      <c r="CK183" s="2">
        <f t="shared" si="206"/>
        <v>0</v>
      </c>
      <c r="CL183" s="2">
        <f t="shared" si="206"/>
        <v>0</v>
      </c>
      <c r="CM183" s="2">
        <f t="shared" si="206"/>
        <v>0</v>
      </c>
      <c r="CN183" s="2">
        <f t="shared" si="206"/>
        <v>0</v>
      </c>
      <c r="CO183" s="2">
        <f t="shared" si="206"/>
        <v>0</v>
      </c>
      <c r="CP183" s="2">
        <f t="shared" si="206"/>
        <v>0</v>
      </c>
      <c r="CQ183" s="2">
        <f t="shared" si="206"/>
        <v>0</v>
      </c>
      <c r="CR183" s="2">
        <f t="shared" si="206"/>
        <v>0</v>
      </c>
      <c r="CS183" s="2">
        <f t="shared" si="206"/>
        <v>0</v>
      </c>
      <c r="CT183" s="2">
        <f t="shared" si="206"/>
        <v>0</v>
      </c>
      <c r="CU183" s="2">
        <f t="shared" si="206"/>
        <v>0</v>
      </c>
      <c r="CV183" s="2">
        <f t="shared" si="206"/>
        <v>0</v>
      </c>
      <c r="CW183" s="2">
        <f t="shared" si="206"/>
        <v>0</v>
      </c>
      <c r="CX183" s="2">
        <f t="shared" si="206"/>
        <v>0</v>
      </c>
      <c r="CY183" s="2">
        <f t="shared" si="206"/>
        <v>0</v>
      </c>
      <c r="CZ183" s="2">
        <f t="shared" si="206"/>
        <v>0</v>
      </c>
      <c r="DA183" s="2">
        <f t="shared" si="206"/>
        <v>0</v>
      </c>
      <c r="DB183" s="2">
        <f t="shared" si="206"/>
        <v>0</v>
      </c>
      <c r="DC183" s="2">
        <f t="shared" si="206"/>
        <v>0</v>
      </c>
      <c r="DD183" s="2">
        <f t="shared" si="206"/>
        <v>0</v>
      </c>
      <c r="DE183" s="2">
        <f t="shared" si="206"/>
        <v>0</v>
      </c>
      <c r="DF183" s="2">
        <f t="shared" si="206"/>
        <v>0</v>
      </c>
      <c r="DG183" s="3">
        <f t="shared" ref="DG183:EL183" si="207">DG215</f>
        <v>0</v>
      </c>
      <c r="DH183" s="3">
        <f t="shared" si="207"/>
        <v>0</v>
      </c>
      <c r="DI183" s="3">
        <f t="shared" si="207"/>
        <v>0</v>
      </c>
      <c r="DJ183" s="3">
        <f t="shared" si="207"/>
        <v>0</v>
      </c>
      <c r="DK183" s="3">
        <f t="shared" si="207"/>
        <v>0</v>
      </c>
      <c r="DL183" s="3">
        <f t="shared" si="207"/>
        <v>0</v>
      </c>
      <c r="DM183" s="3">
        <f t="shared" si="207"/>
        <v>0</v>
      </c>
      <c r="DN183" s="3">
        <f t="shared" si="207"/>
        <v>0</v>
      </c>
      <c r="DO183" s="3">
        <f t="shared" si="207"/>
        <v>0</v>
      </c>
      <c r="DP183" s="3">
        <f t="shared" si="207"/>
        <v>0</v>
      </c>
      <c r="DQ183" s="3">
        <f t="shared" si="207"/>
        <v>0</v>
      </c>
      <c r="DR183" s="3">
        <f t="shared" si="207"/>
        <v>0</v>
      </c>
      <c r="DS183" s="3">
        <f t="shared" si="207"/>
        <v>0</v>
      </c>
      <c r="DT183" s="3">
        <f t="shared" si="207"/>
        <v>0</v>
      </c>
      <c r="DU183" s="3">
        <f t="shared" si="207"/>
        <v>0</v>
      </c>
      <c r="DV183" s="3">
        <f t="shared" si="207"/>
        <v>0</v>
      </c>
      <c r="DW183" s="3">
        <f t="shared" si="207"/>
        <v>0</v>
      </c>
      <c r="DX183" s="3">
        <f t="shared" si="207"/>
        <v>0</v>
      </c>
      <c r="DY183" s="3">
        <f t="shared" si="207"/>
        <v>0</v>
      </c>
      <c r="DZ183" s="3">
        <f t="shared" si="207"/>
        <v>0</v>
      </c>
      <c r="EA183" s="3">
        <f t="shared" si="207"/>
        <v>0</v>
      </c>
      <c r="EB183" s="3">
        <f t="shared" si="207"/>
        <v>0</v>
      </c>
      <c r="EC183" s="3">
        <f t="shared" si="207"/>
        <v>0</v>
      </c>
      <c r="ED183" s="3">
        <f t="shared" si="207"/>
        <v>0</v>
      </c>
      <c r="EE183" s="3">
        <f t="shared" si="207"/>
        <v>0</v>
      </c>
      <c r="EF183" s="3">
        <f t="shared" si="207"/>
        <v>0</v>
      </c>
      <c r="EG183" s="3">
        <f t="shared" si="207"/>
        <v>0</v>
      </c>
      <c r="EH183" s="3">
        <f t="shared" si="207"/>
        <v>0</v>
      </c>
      <c r="EI183" s="3">
        <f t="shared" si="207"/>
        <v>0</v>
      </c>
      <c r="EJ183" s="3">
        <f t="shared" si="207"/>
        <v>0</v>
      </c>
      <c r="EK183" s="3">
        <f t="shared" si="207"/>
        <v>0</v>
      </c>
      <c r="EL183" s="3">
        <f t="shared" si="207"/>
        <v>0</v>
      </c>
      <c r="EM183" s="3">
        <f t="shared" ref="EM183:FR183" si="208">EM215</f>
        <v>0</v>
      </c>
      <c r="EN183" s="3">
        <f t="shared" si="208"/>
        <v>0</v>
      </c>
      <c r="EO183" s="3">
        <f t="shared" si="208"/>
        <v>0</v>
      </c>
      <c r="EP183" s="3">
        <f t="shared" si="208"/>
        <v>0</v>
      </c>
      <c r="EQ183" s="3">
        <f t="shared" si="208"/>
        <v>0</v>
      </c>
      <c r="ER183" s="3">
        <f t="shared" si="208"/>
        <v>0</v>
      </c>
      <c r="ES183" s="3">
        <f t="shared" si="208"/>
        <v>0</v>
      </c>
      <c r="ET183" s="3">
        <f t="shared" si="208"/>
        <v>0</v>
      </c>
      <c r="EU183" s="3">
        <f t="shared" si="208"/>
        <v>0</v>
      </c>
      <c r="EV183" s="3">
        <f t="shared" si="208"/>
        <v>0</v>
      </c>
      <c r="EW183" s="3">
        <f t="shared" si="208"/>
        <v>0</v>
      </c>
      <c r="EX183" s="3">
        <f t="shared" si="208"/>
        <v>0</v>
      </c>
      <c r="EY183" s="3">
        <f t="shared" si="208"/>
        <v>0</v>
      </c>
      <c r="EZ183" s="3">
        <f t="shared" si="208"/>
        <v>0</v>
      </c>
      <c r="FA183" s="3">
        <f t="shared" si="208"/>
        <v>0</v>
      </c>
      <c r="FB183" s="3">
        <f t="shared" si="208"/>
        <v>0</v>
      </c>
      <c r="FC183" s="3">
        <f t="shared" si="208"/>
        <v>0</v>
      </c>
      <c r="FD183" s="3">
        <f t="shared" si="208"/>
        <v>0</v>
      </c>
      <c r="FE183" s="3">
        <f t="shared" si="208"/>
        <v>0</v>
      </c>
      <c r="FF183" s="3">
        <f t="shared" si="208"/>
        <v>0</v>
      </c>
      <c r="FG183" s="3">
        <f t="shared" si="208"/>
        <v>0</v>
      </c>
      <c r="FH183" s="3">
        <f t="shared" si="208"/>
        <v>0</v>
      </c>
      <c r="FI183" s="3">
        <f t="shared" si="208"/>
        <v>0</v>
      </c>
      <c r="FJ183" s="3">
        <f t="shared" si="208"/>
        <v>0</v>
      </c>
      <c r="FK183" s="3">
        <f t="shared" si="208"/>
        <v>0</v>
      </c>
      <c r="FL183" s="3">
        <f t="shared" si="208"/>
        <v>0</v>
      </c>
      <c r="FM183" s="3">
        <f t="shared" si="208"/>
        <v>0</v>
      </c>
      <c r="FN183" s="3">
        <f t="shared" si="208"/>
        <v>0</v>
      </c>
      <c r="FO183" s="3">
        <f t="shared" si="208"/>
        <v>0</v>
      </c>
      <c r="FP183" s="3">
        <f t="shared" si="208"/>
        <v>0</v>
      </c>
      <c r="FQ183" s="3">
        <f t="shared" si="208"/>
        <v>0</v>
      </c>
      <c r="FR183" s="3">
        <f t="shared" si="208"/>
        <v>0</v>
      </c>
      <c r="FS183" s="3">
        <f t="shared" ref="FS183:GX183" si="209">FS215</f>
        <v>0</v>
      </c>
      <c r="FT183" s="3">
        <f t="shared" si="209"/>
        <v>0</v>
      </c>
      <c r="FU183" s="3">
        <f t="shared" si="209"/>
        <v>0</v>
      </c>
      <c r="FV183" s="3">
        <f t="shared" si="209"/>
        <v>0</v>
      </c>
      <c r="FW183" s="3">
        <f t="shared" si="209"/>
        <v>0</v>
      </c>
      <c r="FX183" s="3">
        <f t="shared" si="209"/>
        <v>0</v>
      </c>
      <c r="FY183" s="3">
        <f t="shared" si="209"/>
        <v>0</v>
      </c>
      <c r="FZ183" s="3">
        <f t="shared" si="209"/>
        <v>0</v>
      </c>
      <c r="GA183" s="3">
        <f t="shared" si="209"/>
        <v>0</v>
      </c>
      <c r="GB183" s="3">
        <f t="shared" si="209"/>
        <v>0</v>
      </c>
      <c r="GC183" s="3">
        <f t="shared" si="209"/>
        <v>0</v>
      </c>
      <c r="GD183" s="3">
        <f t="shared" si="209"/>
        <v>0</v>
      </c>
      <c r="GE183" s="3">
        <f t="shared" si="209"/>
        <v>0</v>
      </c>
      <c r="GF183" s="3">
        <f t="shared" si="209"/>
        <v>0</v>
      </c>
      <c r="GG183" s="3">
        <f t="shared" si="209"/>
        <v>0</v>
      </c>
      <c r="GH183" s="3">
        <f t="shared" si="209"/>
        <v>0</v>
      </c>
      <c r="GI183" s="3">
        <f t="shared" si="209"/>
        <v>0</v>
      </c>
      <c r="GJ183" s="3">
        <f t="shared" si="209"/>
        <v>0</v>
      </c>
      <c r="GK183" s="3">
        <f t="shared" si="209"/>
        <v>0</v>
      </c>
      <c r="GL183" s="3">
        <f t="shared" si="209"/>
        <v>0</v>
      </c>
      <c r="GM183" s="3">
        <f t="shared" si="209"/>
        <v>0</v>
      </c>
      <c r="GN183" s="3">
        <f t="shared" si="209"/>
        <v>0</v>
      </c>
      <c r="GO183" s="3">
        <f t="shared" si="209"/>
        <v>0</v>
      </c>
      <c r="GP183" s="3">
        <f t="shared" si="209"/>
        <v>0</v>
      </c>
      <c r="GQ183" s="3">
        <f t="shared" si="209"/>
        <v>0</v>
      </c>
      <c r="GR183" s="3">
        <f t="shared" si="209"/>
        <v>0</v>
      </c>
      <c r="GS183" s="3">
        <f t="shared" si="209"/>
        <v>0</v>
      </c>
      <c r="GT183" s="3">
        <f t="shared" si="209"/>
        <v>0</v>
      </c>
      <c r="GU183" s="3">
        <f t="shared" si="209"/>
        <v>0</v>
      </c>
      <c r="GV183" s="3">
        <f t="shared" si="209"/>
        <v>0</v>
      </c>
      <c r="GW183" s="3">
        <f t="shared" si="209"/>
        <v>0</v>
      </c>
      <c r="GX183" s="3">
        <f t="shared" si="209"/>
        <v>0</v>
      </c>
    </row>
    <row r="185" spans="1:245" x14ac:dyDescent="0.2">
      <c r="A185">
        <v>17</v>
      </c>
      <c r="B185">
        <v>1</v>
      </c>
      <c r="C185">
        <f>ROW(SmtRes!A238)</f>
        <v>238</v>
      </c>
      <c r="D185">
        <f>ROW(EtalonRes!A221)</f>
        <v>221</v>
      </c>
      <c r="E185" t="s">
        <v>440</v>
      </c>
      <c r="F185" t="s">
        <v>65</v>
      </c>
      <c r="G185" t="s">
        <v>441</v>
      </c>
      <c r="H185" t="s">
        <v>45</v>
      </c>
      <c r="I185">
        <v>6</v>
      </c>
      <c r="J185">
        <v>0</v>
      </c>
      <c r="O185">
        <f t="shared" ref="O185:O213" si="210">ROUND(CP185,2)</f>
        <v>1384.94</v>
      </c>
      <c r="P185">
        <f t="shared" ref="P185:P213" si="211">ROUND(CQ185*I185,2)</f>
        <v>508.48</v>
      </c>
      <c r="Q185">
        <f t="shared" ref="Q185:Q213" si="212">ROUND(CR185*I185,2)</f>
        <v>0</v>
      </c>
      <c r="R185">
        <f t="shared" ref="R185:R213" si="213">ROUND(CS185*I185,2)</f>
        <v>0</v>
      </c>
      <c r="S185">
        <f t="shared" ref="S185:S213" si="214">ROUND(CT185*I185,2)</f>
        <v>876.46</v>
      </c>
      <c r="T185">
        <f t="shared" ref="T185:T213" si="215">ROUND(CU185*I185,2)</f>
        <v>0</v>
      </c>
      <c r="U185">
        <f t="shared" ref="U185:U213" si="216">CV185*I185</f>
        <v>14.399999999999999</v>
      </c>
      <c r="V185">
        <f t="shared" ref="V185:V213" si="217">CW185*I185</f>
        <v>0</v>
      </c>
      <c r="W185">
        <f t="shared" ref="W185:W213" si="218">ROUND(CX185*I185,2)</f>
        <v>0</v>
      </c>
      <c r="X185">
        <f t="shared" ref="X185:X213" si="219">ROUND(CY185,2)</f>
        <v>806.34</v>
      </c>
      <c r="Y185">
        <f t="shared" ref="Y185:Y213" si="220">ROUND(CZ185,2)</f>
        <v>569.70000000000005</v>
      </c>
      <c r="AA185">
        <v>16808636</v>
      </c>
      <c r="AB185">
        <f t="shared" ref="AB185:AB213" si="221">ROUND((AC185+AD185+AF185),2)</f>
        <v>34.4</v>
      </c>
      <c r="AC185">
        <f t="shared" ref="AC185:AC213" si="222">ROUND((ES185),2)</f>
        <v>12.63</v>
      </c>
      <c r="AD185">
        <f>ROUND(((((ET185*1.2))-((EU185*1.2)))+AE185),2)</f>
        <v>0</v>
      </c>
      <c r="AE185">
        <f t="shared" ref="AE185:AF187" si="223">ROUND(((EU185*1.2)),2)</f>
        <v>0</v>
      </c>
      <c r="AF185">
        <f t="shared" si="223"/>
        <v>21.77</v>
      </c>
      <c r="AG185">
        <f t="shared" ref="AG185:AG213" si="224">ROUND((AP185),2)</f>
        <v>0</v>
      </c>
      <c r="AH185">
        <f t="shared" ref="AH185:AI187" si="225">((EW185*1.2))</f>
        <v>2.4</v>
      </c>
      <c r="AI185">
        <f t="shared" si="225"/>
        <v>0</v>
      </c>
      <c r="AJ185">
        <f t="shared" ref="AJ185:AJ213" si="226">(AS185)</f>
        <v>0</v>
      </c>
      <c r="AK185">
        <v>30.77</v>
      </c>
      <c r="AL185">
        <v>12.63</v>
      </c>
      <c r="AM185">
        <v>0</v>
      </c>
      <c r="AN185">
        <v>0</v>
      </c>
      <c r="AO185">
        <v>18.14</v>
      </c>
      <c r="AP185">
        <v>0</v>
      </c>
      <c r="AQ185">
        <v>2</v>
      </c>
      <c r="AR185">
        <v>0</v>
      </c>
      <c r="AS185">
        <v>0</v>
      </c>
      <c r="AT185">
        <v>92</v>
      </c>
      <c r="AU185">
        <v>65</v>
      </c>
      <c r="AV185">
        <v>1</v>
      </c>
      <c r="AW185">
        <v>1</v>
      </c>
      <c r="AZ185">
        <v>6.71</v>
      </c>
      <c r="BA185">
        <v>6.71</v>
      </c>
      <c r="BB185">
        <v>6.71</v>
      </c>
      <c r="BC185">
        <v>6.71</v>
      </c>
      <c r="BD185" t="s">
        <v>6</v>
      </c>
      <c r="BE185" t="s">
        <v>6</v>
      </c>
      <c r="BF185" t="s">
        <v>6</v>
      </c>
      <c r="BG185" t="s">
        <v>6</v>
      </c>
      <c r="BH185">
        <v>0</v>
      </c>
      <c r="BI185">
        <v>2</v>
      </c>
      <c r="BJ185" t="s">
        <v>67</v>
      </c>
      <c r="BM185">
        <v>110004</v>
      </c>
      <c r="BN185">
        <v>0</v>
      </c>
      <c r="BO185" t="s">
        <v>6</v>
      </c>
      <c r="BP185">
        <v>0</v>
      </c>
      <c r="BQ185">
        <v>3</v>
      </c>
      <c r="BR185">
        <v>0</v>
      </c>
      <c r="BS185">
        <v>6.71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6</v>
      </c>
      <c r="BZ185">
        <v>92</v>
      </c>
      <c r="CA185">
        <v>65</v>
      </c>
      <c r="CE185">
        <v>0</v>
      </c>
      <c r="CF185">
        <v>0</v>
      </c>
      <c r="CG185">
        <v>0</v>
      </c>
      <c r="CM185">
        <v>0</v>
      </c>
      <c r="CN185" t="s">
        <v>442</v>
      </c>
      <c r="CO185">
        <v>0</v>
      </c>
      <c r="CP185">
        <f t="shared" ref="CP185:CP213" si="227">(P185+Q185+S185)</f>
        <v>1384.94</v>
      </c>
      <c r="CQ185">
        <f t="shared" ref="CQ185:CQ213" si="228">AC185*BC185</f>
        <v>84.74730000000001</v>
      </c>
      <c r="CR185">
        <f t="shared" ref="CR185:CR213" si="229">AD185*BB185</f>
        <v>0</v>
      </c>
      <c r="CS185">
        <f t="shared" ref="CS185:CS213" si="230">AE185*BS185</f>
        <v>0</v>
      </c>
      <c r="CT185">
        <f t="shared" ref="CT185:CT213" si="231">AF185*BA185</f>
        <v>146.07669999999999</v>
      </c>
      <c r="CU185">
        <f t="shared" ref="CU185:CU213" si="232">AG185</f>
        <v>0</v>
      </c>
      <c r="CV185">
        <f t="shared" ref="CV185:CV213" si="233">AH185</f>
        <v>2.4</v>
      </c>
      <c r="CW185">
        <f t="shared" ref="CW185:CW213" si="234">AI185</f>
        <v>0</v>
      </c>
      <c r="CX185">
        <f t="shared" ref="CX185:CX213" si="235">AJ185</f>
        <v>0</v>
      </c>
      <c r="CY185">
        <f t="shared" ref="CY185:CY213" si="236">(((S185+R185)*AT185)/100)</f>
        <v>806.34320000000002</v>
      </c>
      <c r="CZ185">
        <f t="shared" ref="CZ185:CZ213" si="237">(((S185+R185)*AU185)/100)</f>
        <v>569.69900000000007</v>
      </c>
      <c r="DC185" t="s">
        <v>6</v>
      </c>
      <c r="DD185" t="s">
        <v>6</v>
      </c>
      <c r="DE185" t="s">
        <v>443</v>
      </c>
      <c r="DF185" t="s">
        <v>443</v>
      </c>
      <c r="DG185" t="s">
        <v>443</v>
      </c>
      <c r="DH185" t="s">
        <v>6</v>
      </c>
      <c r="DI185" t="s">
        <v>443</v>
      </c>
      <c r="DJ185" t="s">
        <v>443</v>
      </c>
      <c r="DK185" t="s">
        <v>6</v>
      </c>
      <c r="DL185" t="s">
        <v>6</v>
      </c>
      <c r="DM185" t="s">
        <v>6</v>
      </c>
      <c r="DN185">
        <v>0</v>
      </c>
      <c r="DO185">
        <v>0</v>
      </c>
      <c r="DP185">
        <v>1</v>
      </c>
      <c r="DQ185">
        <v>1</v>
      </c>
      <c r="DU185">
        <v>1013</v>
      </c>
      <c r="DV185" t="s">
        <v>45</v>
      </c>
      <c r="DW185" t="s">
        <v>45</v>
      </c>
      <c r="DX185">
        <v>1</v>
      </c>
      <c r="EE185">
        <v>16510374</v>
      </c>
      <c r="EF185">
        <v>3</v>
      </c>
      <c r="EG185" t="s">
        <v>50</v>
      </c>
      <c r="EH185">
        <v>0</v>
      </c>
      <c r="EI185" t="s">
        <v>6</v>
      </c>
      <c r="EJ185">
        <v>2</v>
      </c>
      <c r="EK185">
        <v>110004</v>
      </c>
      <c r="EL185" t="s">
        <v>69</v>
      </c>
      <c r="EM185" t="s">
        <v>63</v>
      </c>
      <c r="EO185" t="s">
        <v>444</v>
      </c>
      <c r="EQ185">
        <v>131072</v>
      </c>
      <c r="ER185">
        <v>30.77</v>
      </c>
      <c r="ES185">
        <v>12.63</v>
      </c>
      <c r="ET185">
        <v>0</v>
      </c>
      <c r="EU185">
        <v>0</v>
      </c>
      <c r="EV185">
        <v>18.14</v>
      </c>
      <c r="EW185">
        <v>2</v>
      </c>
      <c r="EX185">
        <v>0</v>
      </c>
      <c r="EY185">
        <v>0</v>
      </c>
      <c r="FQ185">
        <v>0</v>
      </c>
      <c r="FR185">
        <f t="shared" ref="FR185:FR213" si="238">ROUND(IF(AND(BH185=3,BI185=3),P185,0),2)</f>
        <v>0</v>
      </c>
      <c r="FS185">
        <v>0</v>
      </c>
      <c r="FX185">
        <v>92</v>
      </c>
      <c r="FY185">
        <v>65</v>
      </c>
      <c r="GA185" t="s">
        <v>6</v>
      </c>
      <c r="GD185">
        <v>0</v>
      </c>
      <c r="GF185">
        <v>1416702090</v>
      </c>
      <c r="GG185">
        <v>1</v>
      </c>
      <c r="GH185">
        <v>1</v>
      </c>
      <c r="GI185">
        <v>4</v>
      </c>
      <c r="GJ185">
        <v>0</v>
      </c>
      <c r="GK185">
        <f>ROUND(R185*(R12)/100,2)</f>
        <v>0</v>
      </c>
      <c r="GL185">
        <f t="shared" ref="GL185:GL213" si="239">ROUND(IF(AND(BH185=3,BI185=3,FS185&lt;&gt;0),P185,0),2)</f>
        <v>0</v>
      </c>
      <c r="GM185">
        <f t="shared" ref="GM185:GM213" si="240">ROUND(O185+X185+Y185+GK185,2)+GX185</f>
        <v>2760.98</v>
      </c>
      <c r="GN185">
        <f t="shared" ref="GN185:GN213" si="241">IF(OR(BI185=0,BI185=1),ROUND(O185+X185+Y185+GK185,2),0)</f>
        <v>0</v>
      </c>
      <c r="GO185">
        <f t="shared" ref="GO185:GO213" si="242">IF(BI185=2,ROUND(O185+X185+Y185+GK185,2),0)</f>
        <v>2760.98</v>
      </c>
      <c r="GP185">
        <f t="shared" ref="GP185:GP213" si="243">IF(BI185=4,ROUND(O185+X185+Y185+GK185,2)+GX185,0)</f>
        <v>0</v>
      </c>
      <c r="GR185">
        <v>0</v>
      </c>
      <c r="GS185">
        <v>3</v>
      </c>
      <c r="GT185">
        <v>0</v>
      </c>
      <c r="GU185" t="s">
        <v>6</v>
      </c>
      <c r="GV185">
        <f t="shared" ref="GV185:GV213" si="244">ROUND((GT185),2)</f>
        <v>0</v>
      </c>
      <c r="GW185">
        <v>1</v>
      </c>
      <c r="GX185">
        <f t="shared" ref="GX185:GX213" si="245">ROUND(HC185*I185,2)</f>
        <v>0</v>
      </c>
      <c r="HA185">
        <v>0</v>
      </c>
      <c r="HB185">
        <v>0</v>
      </c>
      <c r="HC185">
        <f t="shared" ref="HC185:HC213" si="246">GV185*GW185</f>
        <v>0</v>
      </c>
      <c r="IK185">
        <v>0</v>
      </c>
    </row>
    <row r="186" spans="1:245" x14ac:dyDescent="0.2">
      <c r="A186">
        <v>17</v>
      </c>
      <c r="B186">
        <v>1</v>
      </c>
      <c r="C186">
        <f>ROW(SmtRes!A245)</f>
        <v>245</v>
      </c>
      <c r="D186">
        <f>ROW(EtalonRes!A228)</f>
        <v>228</v>
      </c>
      <c r="E186" t="s">
        <v>445</v>
      </c>
      <c r="F186" t="s">
        <v>59</v>
      </c>
      <c r="G186" t="s">
        <v>446</v>
      </c>
      <c r="H186" t="s">
        <v>45</v>
      </c>
      <c r="I186">
        <v>21</v>
      </c>
      <c r="J186">
        <v>0</v>
      </c>
      <c r="O186">
        <f t="shared" si="210"/>
        <v>1547.19</v>
      </c>
      <c r="P186">
        <f t="shared" si="211"/>
        <v>180.36</v>
      </c>
      <c r="Q186">
        <f t="shared" si="212"/>
        <v>0</v>
      </c>
      <c r="R186">
        <f t="shared" si="213"/>
        <v>0</v>
      </c>
      <c r="S186">
        <f t="shared" si="214"/>
        <v>1366.83</v>
      </c>
      <c r="T186">
        <f t="shared" si="215"/>
        <v>0</v>
      </c>
      <c r="U186">
        <f t="shared" si="216"/>
        <v>21.167999999999999</v>
      </c>
      <c r="V186">
        <f t="shared" si="217"/>
        <v>0</v>
      </c>
      <c r="W186">
        <f t="shared" si="218"/>
        <v>0</v>
      </c>
      <c r="X186">
        <f t="shared" si="219"/>
        <v>1093.46</v>
      </c>
      <c r="Y186">
        <f t="shared" si="220"/>
        <v>820.1</v>
      </c>
      <c r="AA186">
        <v>16808636</v>
      </c>
      <c r="AB186">
        <f t="shared" si="221"/>
        <v>10.98</v>
      </c>
      <c r="AC186">
        <f t="shared" si="222"/>
        <v>1.28</v>
      </c>
      <c r="AD186">
        <f>ROUND(((((ET186*1.2))-((EU186*1.2)))+AE186),2)</f>
        <v>0</v>
      </c>
      <c r="AE186">
        <f t="shared" si="223"/>
        <v>0</v>
      </c>
      <c r="AF186">
        <f t="shared" si="223"/>
        <v>9.6999999999999993</v>
      </c>
      <c r="AG186">
        <f t="shared" si="224"/>
        <v>0</v>
      </c>
      <c r="AH186">
        <f t="shared" si="225"/>
        <v>1.008</v>
      </c>
      <c r="AI186">
        <f t="shared" si="225"/>
        <v>0</v>
      </c>
      <c r="AJ186">
        <f t="shared" si="226"/>
        <v>0</v>
      </c>
      <c r="AK186">
        <v>9.36</v>
      </c>
      <c r="AL186">
        <v>1.28</v>
      </c>
      <c r="AM186">
        <v>0</v>
      </c>
      <c r="AN186">
        <v>0</v>
      </c>
      <c r="AO186">
        <v>8.08</v>
      </c>
      <c r="AP186">
        <v>0</v>
      </c>
      <c r="AQ186">
        <v>0.84</v>
      </c>
      <c r="AR186">
        <v>0</v>
      </c>
      <c r="AS186">
        <v>0</v>
      </c>
      <c r="AT186">
        <v>80</v>
      </c>
      <c r="AU186">
        <v>60</v>
      </c>
      <c r="AV186">
        <v>1</v>
      </c>
      <c r="AW186">
        <v>1</v>
      </c>
      <c r="AZ186">
        <v>6.71</v>
      </c>
      <c r="BA186">
        <v>6.71</v>
      </c>
      <c r="BB186">
        <v>6.71</v>
      </c>
      <c r="BC186">
        <v>6.71</v>
      </c>
      <c r="BD186" t="s">
        <v>6</v>
      </c>
      <c r="BE186" t="s">
        <v>6</v>
      </c>
      <c r="BF186" t="s">
        <v>6</v>
      </c>
      <c r="BG186" t="s">
        <v>6</v>
      </c>
      <c r="BH186">
        <v>0</v>
      </c>
      <c r="BI186">
        <v>2</v>
      </c>
      <c r="BJ186" t="s">
        <v>61</v>
      </c>
      <c r="BM186">
        <v>110011</v>
      </c>
      <c r="BN186">
        <v>0</v>
      </c>
      <c r="BO186" t="s">
        <v>6</v>
      </c>
      <c r="BP186">
        <v>0</v>
      </c>
      <c r="BQ186">
        <v>3</v>
      </c>
      <c r="BR186">
        <v>0</v>
      </c>
      <c r="BS186">
        <v>6.71</v>
      </c>
      <c r="BT186">
        <v>1</v>
      </c>
      <c r="BU186">
        <v>1</v>
      </c>
      <c r="BV186">
        <v>1</v>
      </c>
      <c r="BW186">
        <v>1</v>
      </c>
      <c r="BX186">
        <v>1</v>
      </c>
      <c r="BY186" t="s">
        <v>6</v>
      </c>
      <c r="BZ186">
        <v>80</v>
      </c>
      <c r="CA186">
        <v>60</v>
      </c>
      <c r="CE186">
        <v>0</v>
      </c>
      <c r="CF186">
        <v>0</v>
      </c>
      <c r="CG186">
        <v>0</v>
      </c>
      <c r="CM186">
        <v>0</v>
      </c>
      <c r="CN186" t="s">
        <v>442</v>
      </c>
      <c r="CO186">
        <v>0</v>
      </c>
      <c r="CP186">
        <f t="shared" si="227"/>
        <v>1547.19</v>
      </c>
      <c r="CQ186">
        <f t="shared" si="228"/>
        <v>8.5888000000000009</v>
      </c>
      <c r="CR186">
        <f t="shared" si="229"/>
        <v>0</v>
      </c>
      <c r="CS186">
        <f t="shared" si="230"/>
        <v>0</v>
      </c>
      <c r="CT186">
        <f t="shared" si="231"/>
        <v>65.086999999999989</v>
      </c>
      <c r="CU186">
        <f t="shared" si="232"/>
        <v>0</v>
      </c>
      <c r="CV186">
        <f t="shared" si="233"/>
        <v>1.008</v>
      </c>
      <c r="CW186">
        <f t="shared" si="234"/>
        <v>0</v>
      </c>
      <c r="CX186">
        <f t="shared" si="235"/>
        <v>0</v>
      </c>
      <c r="CY186">
        <f t="shared" si="236"/>
        <v>1093.4639999999999</v>
      </c>
      <c r="CZ186">
        <f t="shared" si="237"/>
        <v>820.09799999999984</v>
      </c>
      <c r="DC186" t="s">
        <v>6</v>
      </c>
      <c r="DD186" t="s">
        <v>6</v>
      </c>
      <c r="DE186" t="s">
        <v>443</v>
      </c>
      <c r="DF186" t="s">
        <v>443</v>
      </c>
      <c r="DG186" t="s">
        <v>443</v>
      </c>
      <c r="DH186" t="s">
        <v>6</v>
      </c>
      <c r="DI186" t="s">
        <v>443</v>
      </c>
      <c r="DJ186" t="s">
        <v>443</v>
      </c>
      <c r="DK186" t="s">
        <v>6</v>
      </c>
      <c r="DL186" t="s">
        <v>6</v>
      </c>
      <c r="DM186" t="s">
        <v>6</v>
      </c>
      <c r="DN186">
        <v>0</v>
      </c>
      <c r="DO186">
        <v>0</v>
      </c>
      <c r="DP186">
        <v>1</v>
      </c>
      <c r="DQ186">
        <v>1</v>
      </c>
      <c r="DU186">
        <v>1013</v>
      </c>
      <c r="DV186" t="s">
        <v>45</v>
      </c>
      <c r="DW186" t="s">
        <v>45</v>
      </c>
      <c r="DX186">
        <v>1</v>
      </c>
      <c r="EE186">
        <v>16510417</v>
      </c>
      <c r="EF186">
        <v>3</v>
      </c>
      <c r="EG186" t="s">
        <v>50</v>
      </c>
      <c r="EH186">
        <v>0</v>
      </c>
      <c r="EI186" t="s">
        <v>6</v>
      </c>
      <c r="EJ186">
        <v>2</v>
      </c>
      <c r="EK186">
        <v>110011</v>
      </c>
      <c r="EL186" t="s">
        <v>62</v>
      </c>
      <c r="EM186" t="s">
        <v>63</v>
      </c>
      <c r="EO186" t="s">
        <v>444</v>
      </c>
      <c r="EQ186">
        <v>131072</v>
      </c>
      <c r="ER186">
        <v>9.36</v>
      </c>
      <c r="ES186">
        <v>1.28</v>
      </c>
      <c r="ET186">
        <v>0</v>
      </c>
      <c r="EU186">
        <v>0</v>
      </c>
      <c r="EV186">
        <v>8.08</v>
      </c>
      <c r="EW186">
        <v>0.84</v>
      </c>
      <c r="EX186">
        <v>0</v>
      </c>
      <c r="EY186">
        <v>0</v>
      </c>
      <c r="FQ186">
        <v>0</v>
      </c>
      <c r="FR186">
        <f t="shared" si="238"/>
        <v>0</v>
      </c>
      <c r="FS186">
        <v>0</v>
      </c>
      <c r="FX186">
        <v>80</v>
      </c>
      <c r="FY186">
        <v>60</v>
      </c>
      <c r="GA186" t="s">
        <v>6</v>
      </c>
      <c r="GD186">
        <v>0</v>
      </c>
      <c r="GF186">
        <v>-1276259625</v>
      </c>
      <c r="GG186">
        <v>1</v>
      </c>
      <c r="GH186">
        <v>1</v>
      </c>
      <c r="GI186">
        <v>4</v>
      </c>
      <c r="GJ186">
        <v>0</v>
      </c>
      <c r="GK186">
        <f>ROUND(R186*(R12)/100,2)</f>
        <v>0</v>
      </c>
      <c r="GL186">
        <f t="shared" si="239"/>
        <v>0</v>
      </c>
      <c r="GM186">
        <f t="shared" si="240"/>
        <v>3460.75</v>
      </c>
      <c r="GN186">
        <f t="shared" si="241"/>
        <v>0</v>
      </c>
      <c r="GO186">
        <f t="shared" si="242"/>
        <v>3460.75</v>
      </c>
      <c r="GP186">
        <f t="shared" si="243"/>
        <v>0</v>
      </c>
      <c r="GR186">
        <v>0</v>
      </c>
      <c r="GS186">
        <v>3</v>
      </c>
      <c r="GT186">
        <v>0</v>
      </c>
      <c r="GU186" t="s">
        <v>6</v>
      </c>
      <c r="GV186">
        <f t="shared" si="244"/>
        <v>0</v>
      </c>
      <c r="GW186">
        <v>1</v>
      </c>
      <c r="GX186">
        <f t="shared" si="245"/>
        <v>0</v>
      </c>
      <c r="HA186">
        <v>0</v>
      </c>
      <c r="HB186">
        <v>0</v>
      </c>
      <c r="HC186">
        <f t="shared" si="246"/>
        <v>0</v>
      </c>
      <c r="IK186">
        <v>0</v>
      </c>
    </row>
    <row r="187" spans="1:245" x14ac:dyDescent="0.2">
      <c r="A187">
        <v>17</v>
      </c>
      <c r="B187">
        <v>1</v>
      </c>
      <c r="C187">
        <f>ROW(SmtRes!A249)</f>
        <v>249</v>
      </c>
      <c r="D187">
        <f>ROW(EtalonRes!A231)</f>
        <v>231</v>
      </c>
      <c r="E187" t="s">
        <v>447</v>
      </c>
      <c r="F187" t="s">
        <v>448</v>
      </c>
      <c r="G187" t="s">
        <v>449</v>
      </c>
      <c r="H187" t="s">
        <v>40</v>
      </c>
      <c r="I187">
        <f>ROUND(20/100,9)</f>
        <v>0.2</v>
      </c>
      <c r="J187">
        <v>0</v>
      </c>
      <c r="O187">
        <f t="shared" si="210"/>
        <v>247.25</v>
      </c>
      <c r="P187">
        <f t="shared" si="211"/>
        <v>22.53</v>
      </c>
      <c r="Q187">
        <f t="shared" si="212"/>
        <v>0</v>
      </c>
      <c r="R187">
        <f t="shared" si="213"/>
        <v>0</v>
      </c>
      <c r="S187">
        <f t="shared" si="214"/>
        <v>224.72</v>
      </c>
      <c r="T187">
        <f t="shared" si="215"/>
        <v>0</v>
      </c>
      <c r="U187">
        <f t="shared" si="216"/>
        <v>3.6479999999999997</v>
      </c>
      <c r="V187">
        <f t="shared" si="217"/>
        <v>0</v>
      </c>
      <c r="W187">
        <f t="shared" si="218"/>
        <v>0</v>
      </c>
      <c r="X187">
        <f t="shared" si="219"/>
        <v>213.48</v>
      </c>
      <c r="Y187">
        <f t="shared" si="220"/>
        <v>146.07</v>
      </c>
      <c r="AA187">
        <v>16808636</v>
      </c>
      <c r="AB187">
        <f t="shared" si="221"/>
        <v>184.24</v>
      </c>
      <c r="AC187">
        <f t="shared" si="222"/>
        <v>16.79</v>
      </c>
      <c r="AD187">
        <f>ROUND(((((ET187*1.2))-((EU187*1.2)))+AE187),2)</f>
        <v>0</v>
      </c>
      <c r="AE187">
        <f t="shared" si="223"/>
        <v>0</v>
      </c>
      <c r="AF187">
        <f t="shared" si="223"/>
        <v>167.45</v>
      </c>
      <c r="AG187">
        <f t="shared" si="224"/>
        <v>0</v>
      </c>
      <c r="AH187">
        <f t="shared" si="225"/>
        <v>18.239999999999998</v>
      </c>
      <c r="AI187">
        <f t="shared" si="225"/>
        <v>0</v>
      </c>
      <c r="AJ187">
        <f t="shared" si="226"/>
        <v>0</v>
      </c>
      <c r="AK187">
        <v>156.33000000000001</v>
      </c>
      <c r="AL187">
        <v>16.79</v>
      </c>
      <c r="AM187">
        <v>0</v>
      </c>
      <c r="AN187">
        <v>0</v>
      </c>
      <c r="AO187">
        <v>139.54</v>
      </c>
      <c r="AP187">
        <v>0</v>
      </c>
      <c r="AQ187">
        <v>15.2</v>
      </c>
      <c r="AR187">
        <v>0</v>
      </c>
      <c r="AS187">
        <v>0</v>
      </c>
      <c r="AT187">
        <v>95</v>
      </c>
      <c r="AU187">
        <v>65</v>
      </c>
      <c r="AV187">
        <v>1</v>
      </c>
      <c r="AW187">
        <v>1</v>
      </c>
      <c r="AZ187">
        <v>6.71</v>
      </c>
      <c r="BA187">
        <v>6.71</v>
      </c>
      <c r="BB187">
        <v>6.71</v>
      </c>
      <c r="BC187">
        <v>6.71</v>
      </c>
      <c r="BD187" t="s">
        <v>6</v>
      </c>
      <c r="BE187" t="s">
        <v>6</v>
      </c>
      <c r="BF187" t="s">
        <v>6</v>
      </c>
      <c r="BG187" t="s">
        <v>6</v>
      </c>
      <c r="BH187">
        <v>0</v>
      </c>
      <c r="BI187">
        <v>2</v>
      </c>
      <c r="BJ187" t="s">
        <v>450</v>
      </c>
      <c r="BM187">
        <v>108001</v>
      </c>
      <c r="BN187">
        <v>0</v>
      </c>
      <c r="BO187" t="s">
        <v>6</v>
      </c>
      <c r="BP187">
        <v>0</v>
      </c>
      <c r="BQ187">
        <v>3</v>
      </c>
      <c r="BR187">
        <v>0</v>
      </c>
      <c r="BS187">
        <v>6.71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6</v>
      </c>
      <c r="BZ187">
        <v>95</v>
      </c>
      <c r="CA187">
        <v>65</v>
      </c>
      <c r="CE187">
        <v>0</v>
      </c>
      <c r="CF187">
        <v>0</v>
      </c>
      <c r="CG187">
        <v>0</v>
      </c>
      <c r="CM187">
        <v>0</v>
      </c>
      <c r="CN187" t="s">
        <v>442</v>
      </c>
      <c r="CO187">
        <v>0</v>
      </c>
      <c r="CP187">
        <f t="shared" si="227"/>
        <v>247.25</v>
      </c>
      <c r="CQ187">
        <f t="shared" si="228"/>
        <v>112.6609</v>
      </c>
      <c r="CR187">
        <f t="shared" si="229"/>
        <v>0</v>
      </c>
      <c r="CS187">
        <f t="shared" si="230"/>
        <v>0</v>
      </c>
      <c r="CT187">
        <f t="shared" si="231"/>
        <v>1123.5894999999998</v>
      </c>
      <c r="CU187">
        <f t="shared" si="232"/>
        <v>0</v>
      </c>
      <c r="CV187">
        <f t="shared" si="233"/>
        <v>18.239999999999998</v>
      </c>
      <c r="CW187">
        <f t="shared" si="234"/>
        <v>0</v>
      </c>
      <c r="CX187">
        <f t="shared" si="235"/>
        <v>0</v>
      </c>
      <c r="CY187">
        <f t="shared" si="236"/>
        <v>213.48400000000001</v>
      </c>
      <c r="CZ187">
        <f t="shared" si="237"/>
        <v>146.06799999999998</v>
      </c>
      <c r="DC187" t="s">
        <v>6</v>
      </c>
      <c r="DD187" t="s">
        <v>6</v>
      </c>
      <c r="DE187" t="s">
        <v>443</v>
      </c>
      <c r="DF187" t="s">
        <v>443</v>
      </c>
      <c r="DG187" t="s">
        <v>443</v>
      </c>
      <c r="DH187" t="s">
        <v>6</v>
      </c>
      <c r="DI187" t="s">
        <v>443</v>
      </c>
      <c r="DJ187" t="s">
        <v>443</v>
      </c>
      <c r="DK187" t="s">
        <v>6</v>
      </c>
      <c r="DL187" t="s">
        <v>6</v>
      </c>
      <c r="DM187" t="s">
        <v>6</v>
      </c>
      <c r="DN187">
        <v>0</v>
      </c>
      <c r="DO187">
        <v>0</v>
      </c>
      <c r="DP187">
        <v>1</v>
      </c>
      <c r="DQ187">
        <v>1</v>
      </c>
      <c r="DU187">
        <v>1003</v>
      </c>
      <c r="DV187" t="s">
        <v>40</v>
      </c>
      <c r="DW187" t="s">
        <v>40</v>
      </c>
      <c r="DX187">
        <v>100</v>
      </c>
      <c r="EE187">
        <v>16510370</v>
      </c>
      <c r="EF187">
        <v>3</v>
      </c>
      <c r="EG187" t="s">
        <v>50</v>
      </c>
      <c r="EH187">
        <v>0</v>
      </c>
      <c r="EI187" t="s">
        <v>6</v>
      </c>
      <c r="EJ187">
        <v>2</v>
      </c>
      <c r="EK187">
        <v>108001</v>
      </c>
      <c r="EL187" t="s">
        <v>51</v>
      </c>
      <c r="EM187" t="s">
        <v>52</v>
      </c>
      <c r="EO187" t="s">
        <v>444</v>
      </c>
      <c r="EQ187">
        <v>131072</v>
      </c>
      <c r="ER187">
        <v>156.33000000000001</v>
      </c>
      <c r="ES187">
        <v>16.79</v>
      </c>
      <c r="ET187">
        <v>0</v>
      </c>
      <c r="EU187">
        <v>0</v>
      </c>
      <c r="EV187">
        <v>139.54</v>
      </c>
      <c r="EW187">
        <v>15.2</v>
      </c>
      <c r="EX187">
        <v>0</v>
      </c>
      <c r="EY187">
        <v>0</v>
      </c>
      <c r="FQ187">
        <v>0</v>
      </c>
      <c r="FR187">
        <f t="shared" si="238"/>
        <v>0</v>
      </c>
      <c r="FS187">
        <v>0</v>
      </c>
      <c r="FX187">
        <v>95</v>
      </c>
      <c r="FY187">
        <v>65</v>
      </c>
      <c r="GA187" t="s">
        <v>6</v>
      </c>
      <c r="GD187">
        <v>0</v>
      </c>
      <c r="GF187">
        <v>-596386547</v>
      </c>
      <c r="GG187">
        <v>1</v>
      </c>
      <c r="GH187">
        <v>1</v>
      </c>
      <c r="GI187">
        <v>4</v>
      </c>
      <c r="GJ187">
        <v>0</v>
      </c>
      <c r="GK187">
        <f>ROUND(R187*(R12)/100,2)</f>
        <v>0</v>
      </c>
      <c r="GL187">
        <f t="shared" si="239"/>
        <v>0</v>
      </c>
      <c r="GM187">
        <f t="shared" si="240"/>
        <v>606.79999999999995</v>
      </c>
      <c r="GN187">
        <f t="shared" si="241"/>
        <v>0</v>
      </c>
      <c r="GO187">
        <f t="shared" si="242"/>
        <v>606.79999999999995</v>
      </c>
      <c r="GP187">
        <f t="shared" si="243"/>
        <v>0</v>
      </c>
      <c r="GR187">
        <v>0</v>
      </c>
      <c r="GS187">
        <v>3</v>
      </c>
      <c r="GT187">
        <v>0</v>
      </c>
      <c r="GU187" t="s">
        <v>6</v>
      </c>
      <c r="GV187">
        <f t="shared" si="244"/>
        <v>0</v>
      </c>
      <c r="GW187">
        <v>1</v>
      </c>
      <c r="GX187">
        <f t="shared" si="245"/>
        <v>0</v>
      </c>
      <c r="HA187">
        <v>0</v>
      </c>
      <c r="HB187">
        <v>0</v>
      </c>
      <c r="HC187">
        <f t="shared" si="246"/>
        <v>0</v>
      </c>
      <c r="IK187">
        <v>0</v>
      </c>
    </row>
    <row r="188" spans="1:245" x14ac:dyDescent="0.2">
      <c r="A188">
        <v>18</v>
      </c>
      <c r="B188">
        <v>1</v>
      </c>
      <c r="C188">
        <v>248</v>
      </c>
      <c r="E188" t="s">
        <v>451</v>
      </c>
      <c r="F188" t="s">
        <v>452</v>
      </c>
      <c r="G188" t="s">
        <v>453</v>
      </c>
      <c r="H188" t="s">
        <v>454</v>
      </c>
      <c r="I188">
        <f>I187*J188</f>
        <v>2</v>
      </c>
      <c r="J188">
        <v>10</v>
      </c>
      <c r="O188">
        <f t="shared" si="210"/>
        <v>216.2</v>
      </c>
      <c r="P188">
        <f t="shared" si="211"/>
        <v>216.2</v>
      </c>
      <c r="Q188">
        <f t="shared" si="212"/>
        <v>0</v>
      </c>
      <c r="R188">
        <f t="shared" si="213"/>
        <v>0</v>
      </c>
      <c r="S188">
        <f t="shared" si="214"/>
        <v>0</v>
      </c>
      <c r="T188">
        <f t="shared" si="215"/>
        <v>0</v>
      </c>
      <c r="U188">
        <f t="shared" si="216"/>
        <v>0</v>
      </c>
      <c r="V188">
        <f t="shared" si="217"/>
        <v>0</v>
      </c>
      <c r="W188">
        <f t="shared" si="218"/>
        <v>0</v>
      </c>
      <c r="X188">
        <f t="shared" si="219"/>
        <v>0</v>
      </c>
      <c r="Y188">
        <f t="shared" si="220"/>
        <v>0</v>
      </c>
      <c r="AA188">
        <v>16808636</v>
      </c>
      <c r="AB188">
        <f t="shared" si="221"/>
        <v>16.11</v>
      </c>
      <c r="AC188">
        <f t="shared" si="222"/>
        <v>16.11</v>
      </c>
      <c r="AD188">
        <f>ROUND((((ET188)-(EU188))+AE188),2)</f>
        <v>0</v>
      </c>
      <c r="AE188">
        <f>ROUND((EU188),2)</f>
        <v>0</v>
      </c>
      <c r="AF188">
        <f>ROUND((EV188),2)</f>
        <v>0</v>
      </c>
      <c r="AG188">
        <f t="shared" si="224"/>
        <v>0</v>
      </c>
      <c r="AH188">
        <f>(EW188)</f>
        <v>0</v>
      </c>
      <c r="AI188">
        <f>(EX188)</f>
        <v>0</v>
      </c>
      <c r="AJ188">
        <f t="shared" si="226"/>
        <v>0</v>
      </c>
      <c r="AK188">
        <v>16.11</v>
      </c>
      <c r="AL188">
        <v>16.11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95</v>
      </c>
      <c r="AU188">
        <v>65</v>
      </c>
      <c r="AV188">
        <v>1</v>
      </c>
      <c r="AW188">
        <v>1</v>
      </c>
      <c r="AZ188">
        <v>6.71</v>
      </c>
      <c r="BA188">
        <v>1</v>
      </c>
      <c r="BB188">
        <v>1</v>
      </c>
      <c r="BC188">
        <v>6.71</v>
      </c>
      <c r="BD188" t="s">
        <v>6</v>
      </c>
      <c r="BE188" t="s">
        <v>6</v>
      </c>
      <c r="BF188" t="s">
        <v>6</v>
      </c>
      <c r="BG188" t="s">
        <v>6</v>
      </c>
      <c r="BH188">
        <v>3</v>
      </c>
      <c r="BI188">
        <v>2</v>
      </c>
      <c r="BJ188" t="s">
        <v>455</v>
      </c>
      <c r="BM188">
        <v>108001</v>
      </c>
      <c r="BN188">
        <v>0</v>
      </c>
      <c r="BO188" t="s">
        <v>6</v>
      </c>
      <c r="BP188">
        <v>0</v>
      </c>
      <c r="BQ188">
        <v>3</v>
      </c>
      <c r="BR188">
        <v>0</v>
      </c>
      <c r="BS188">
        <v>1</v>
      </c>
      <c r="BT188">
        <v>1</v>
      </c>
      <c r="BU188">
        <v>1</v>
      </c>
      <c r="BV188">
        <v>1</v>
      </c>
      <c r="BW188">
        <v>1</v>
      </c>
      <c r="BX188">
        <v>1</v>
      </c>
      <c r="BY188" t="s">
        <v>6</v>
      </c>
      <c r="BZ188">
        <v>95</v>
      </c>
      <c r="CA188">
        <v>65</v>
      </c>
      <c r="CE188">
        <v>0</v>
      </c>
      <c r="CF188">
        <v>0</v>
      </c>
      <c r="CG188">
        <v>0</v>
      </c>
      <c r="CM188">
        <v>0</v>
      </c>
      <c r="CN188" t="s">
        <v>6</v>
      </c>
      <c r="CO188">
        <v>0</v>
      </c>
      <c r="CP188">
        <f t="shared" si="227"/>
        <v>216.2</v>
      </c>
      <c r="CQ188">
        <f t="shared" si="228"/>
        <v>108.0981</v>
      </c>
      <c r="CR188">
        <f t="shared" si="229"/>
        <v>0</v>
      </c>
      <c r="CS188">
        <f t="shared" si="230"/>
        <v>0</v>
      </c>
      <c r="CT188">
        <f t="shared" si="231"/>
        <v>0</v>
      </c>
      <c r="CU188">
        <f t="shared" si="232"/>
        <v>0</v>
      </c>
      <c r="CV188">
        <f t="shared" si="233"/>
        <v>0</v>
      </c>
      <c r="CW188">
        <f t="shared" si="234"/>
        <v>0</v>
      </c>
      <c r="CX188">
        <f t="shared" si="235"/>
        <v>0</v>
      </c>
      <c r="CY188">
        <f t="shared" si="236"/>
        <v>0</v>
      </c>
      <c r="CZ188">
        <f t="shared" si="237"/>
        <v>0</v>
      </c>
      <c r="DC188" t="s">
        <v>6</v>
      </c>
      <c r="DD188" t="s">
        <v>6</v>
      </c>
      <c r="DE188" t="s">
        <v>6</v>
      </c>
      <c r="DF188" t="s">
        <v>6</v>
      </c>
      <c r="DG188" t="s">
        <v>6</v>
      </c>
      <c r="DH188" t="s">
        <v>6</v>
      </c>
      <c r="DI188" t="s">
        <v>6</v>
      </c>
      <c r="DJ188" t="s">
        <v>6</v>
      </c>
      <c r="DK188" t="s">
        <v>6</v>
      </c>
      <c r="DL188" t="s">
        <v>6</v>
      </c>
      <c r="DM188" t="s">
        <v>6</v>
      </c>
      <c r="DN188">
        <v>0</v>
      </c>
      <c r="DO188">
        <v>0</v>
      </c>
      <c r="DP188">
        <v>1</v>
      </c>
      <c r="DQ188">
        <v>1</v>
      </c>
      <c r="DU188">
        <v>1003</v>
      </c>
      <c r="DV188" t="s">
        <v>454</v>
      </c>
      <c r="DW188" t="s">
        <v>454</v>
      </c>
      <c r="DX188">
        <v>10</v>
      </c>
      <c r="EE188">
        <v>16510370</v>
      </c>
      <c r="EF188">
        <v>3</v>
      </c>
      <c r="EG188" t="s">
        <v>50</v>
      </c>
      <c r="EH188">
        <v>0</v>
      </c>
      <c r="EI188" t="s">
        <v>6</v>
      </c>
      <c r="EJ188">
        <v>2</v>
      </c>
      <c r="EK188">
        <v>108001</v>
      </c>
      <c r="EL188" t="s">
        <v>51</v>
      </c>
      <c r="EM188" t="s">
        <v>52</v>
      </c>
      <c r="EO188" t="s">
        <v>6</v>
      </c>
      <c r="EQ188">
        <v>0</v>
      </c>
      <c r="ER188">
        <v>16.11</v>
      </c>
      <c r="ES188">
        <v>16.11</v>
      </c>
      <c r="ET188">
        <v>0</v>
      </c>
      <c r="EU188">
        <v>0</v>
      </c>
      <c r="EV188">
        <v>0</v>
      </c>
      <c r="EW188">
        <v>0</v>
      </c>
      <c r="EX188">
        <v>0</v>
      </c>
      <c r="FQ188">
        <v>0</v>
      </c>
      <c r="FR188">
        <f t="shared" si="238"/>
        <v>0</v>
      </c>
      <c r="FS188">
        <v>0</v>
      </c>
      <c r="FX188">
        <v>95</v>
      </c>
      <c r="FY188">
        <v>65</v>
      </c>
      <c r="GA188" t="s">
        <v>6</v>
      </c>
      <c r="GD188">
        <v>0</v>
      </c>
      <c r="GF188">
        <v>-819900352</v>
      </c>
      <c r="GG188">
        <v>1</v>
      </c>
      <c r="GH188">
        <v>1</v>
      </c>
      <c r="GI188">
        <v>4</v>
      </c>
      <c r="GJ188">
        <v>0</v>
      </c>
      <c r="GK188">
        <f>ROUND(R188*(R12)/100,2)</f>
        <v>0</v>
      </c>
      <c r="GL188">
        <f t="shared" si="239"/>
        <v>0</v>
      </c>
      <c r="GM188">
        <f t="shared" si="240"/>
        <v>216.2</v>
      </c>
      <c r="GN188">
        <f t="shared" si="241"/>
        <v>0</v>
      </c>
      <c r="GO188">
        <f t="shared" si="242"/>
        <v>216.2</v>
      </c>
      <c r="GP188">
        <f t="shared" si="243"/>
        <v>0</v>
      </c>
      <c r="GR188">
        <v>0</v>
      </c>
      <c r="GS188">
        <v>3</v>
      </c>
      <c r="GT188">
        <v>0</v>
      </c>
      <c r="GU188" t="s">
        <v>6</v>
      </c>
      <c r="GV188">
        <f t="shared" si="244"/>
        <v>0</v>
      </c>
      <c r="GW188">
        <v>1</v>
      </c>
      <c r="GX188">
        <f t="shared" si="245"/>
        <v>0</v>
      </c>
      <c r="HA188">
        <v>0</v>
      </c>
      <c r="HB188">
        <v>0</v>
      </c>
      <c r="HC188">
        <f t="shared" si="246"/>
        <v>0</v>
      </c>
      <c r="IK188">
        <v>0</v>
      </c>
    </row>
    <row r="189" spans="1:245" x14ac:dyDescent="0.2">
      <c r="A189">
        <v>17</v>
      </c>
      <c r="B189">
        <v>1</v>
      </c>
      <c r="C189">
        <f>ROW(SmtRes!A260)</f>
        <v>260</v>
      </c>
      <c r="D189">
        <f>ROW(EtalonRes!A241)</f>
        <v>241</v>
      </c>
      <c r="E189" t="s">
        <v>456</v>
      </c>
      <c r="F189" t="s">
        <v>457</v>
      </c>
      <c r="G189" t="s">
        <v>458</v>
      </c>
      <c r="H189" t="s">
        <v>40</v>
      </c>
      <c r="I189">
        <f>ROUND(20/100,9)</f>
        <v>0.2</v>
      </c>
      <c r="J189">
        <v>0</v>
      </c>
      <c r="O189">
        <f t="shared" si="210"/>
        <v>134.26</v>
      </c>
      <c r="P189">
        <f t="shared" si="211"/>
        <v>30.45</v>
      </c>
      <c r="Q189">
        <f t="shared" si="212"/>
        <v>8.58</v>
      </c>
      <c r="R189">
        <f t="shared" si="213"/>
        <v>1.22</v>
      </c>
      <c r="S189">
        <f t="shared" si="214"/>
        <v>95.23</v>
      </c>
      <c r="T189">
        <f t="shared" si="215"/>
        <v>0</v>
      </c>
      <c r="U189">
        <f t="shared" si="216"/>
        <v>1.5096000000000001</v>
      </c>
      <c r="V189">
        <f t="shared" si="217"/>
        <v>1.44E-2</v>
      </c>
      <c r="W189">
        <f t="shared" si="218"/>
        <v>0</v>
      </c>
      <c r="X189">
        <f t="shared" si="219"/>
        <v>91.63</v>
      </c>
      <c r="Y189">
        <f t="shared" si="220"/>
        <v>62.69</v>
      </c>
      <c r="AA189">
        <v>16808636</v>
      </c>
      <c r="AB189">
        <f t="shared" si="221"/>
        <v>100.04</v>
      </c>
      <c r="AC189">
        <f t="shared" si="222"/>
        <v>22.69</v>
      </c>
      <c r="AD189">
        <f>ROUND(((((ET189*1.2))-((EU189*1.2)))+AE189),2)</f>
        <v>6.39</v>
      </c>
      <c r="AE189">
        <f>ROUND(((EU189*1.2)),2)</f>
        <v>0.91</v>
      </c>
      <c r="AF189">
        <f>ROUND(((EV189*1.2)),2)</f>
        <v>70.959999999999994</v>
      </c>
      <c r="AG189">
        <f t="shared" si="224"/>
        <v>0</v>
      </c>
      <c r="AH189">
        <f>((EW189*1.2))</f>
        <v>7.548</v>
      </c>
      <c r="AI189">
        <f>((EX189*1.2))</f>
        <v>7.1999999999999995E-2</v>
      </c>
      <c r="AJ189">
        <f t="shared" si="226"/>
        <v>0</v>
      </c>
      <c r="AK189">
        <v>87.15</v>
      </c>
      <c r="AL189">
        <v>22.69</v>
      </c>
      <c r="AM189">
        <v>5.33</v>
      </c>
      <c r="AN189">
        <v>0.76</v>
      </c>
      <c r="AO189">
        <v>59.13</v>
      </c>
      <c r="AP189">
        <v>0</v>
      </c>
      <c r="AQ189">
        <v>6.29</v>
      </c>
      <c r="AR189">
        <v>0.06</v>
      </c>
      <c r="AS189">
        <v>0</v>
      </c>
      <c r="AT189">
        <v>95</v>
      </c>
      <c r="AU189">
        <v>65</v>
      </c>
      <c r="AV189">
        <v>1</v>
      </c>
      <c r="AW189">
        <v>1</v>
      </c>
      <c r="AZ189">
        <v>6.71</v>
      </c>
      <c r="BA189">
        <v>6.71</v>
      </c>
      <c r="BB189">
        <v>6.71</v>
      </c>
      <c r="BC189">
        <v>6.71</v>
      </c>
      <c r="BD189" t="s">
        <v>6</v>
      </c>
      <c r="BE189" t="s">
        <v>6</v>
      </c>
      <c r="BF189" t="s">
        <v>6</v>
      </c>
      <c r="BG189" t="s">
        <v>6</v>
      </c>
      <c r="BH189">
        <v>0</v>
      </c>
      <c r="BI189">
        <v>2</v>
      </c>
      <c r="BJ189" t="s">
        <v>459</v>
      </c>
      <c r="BM189">
        <v>108001</v>
      </c>
      <c r="BN189">
        <v>0</v>
      </c>
      <c r="BO189" t="s">
        <v>6</v>
      </c>
      <c r="BP189">
        <v>0</v>
      </c>
      <c r="BQ189">
        <v>3</v>
      </c>
      <c r="BR189">
        <v>0</v>
      </c>
      <c r="BS189">
        <v>6.71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6</v>
      </c>
      <c r="BZ189">
        <v>95</v>
      </c>
      <c r="CA189">
        <v>65</v>
      </c>
      <c r="CE189">
        <v>0</v>
      </c>
      <c r="CF189">
        <v>0</v>
      </c>
      <c r="CG189">
        <v>0</v>
      </c>
      <c r="CM189">
        <v>0</v>
      </c>
      <c r="CN189" t="s">
        <v>442</v>
      </c>
      <c r="CO189">
        <v>0</v>
      </c>
      <c r="CP189">
        <f t="shared" si="227"/>
        <v>134.26</v>
      </c>
      <c r="CQ189">
        <f t="shared" si="228"/>
        <v>152.2499</v>
      </c>
      <c r="CR189">
        <f t="shared" si="229"/>
        <v>42.876899999999999</v>
      </c>
      <c r="CS189">
        <f t="shared" si="230"/>
        <v>6.1061000000000005</v>
      </c>
      <c r="CT189">
        <f t="shared" si="231"/>
        <v>476.14159999999998</v>
      </c>
      <c r="CU189">
        <f t="shared" si="232"/>
        <v>0</v>
      </c>
      <c r="CV189">
        <f t="shared" si="233"/>
        <v>7.548</v>
      </c>
      <c r="CW189">
        <f t="shared" si="234"/>
        <v>7.1999999999999995E-2</v>
      </c>
      <c r="CX189">
        <f t="shared" si="235"/>
        <v>0</v>
      </c>
      <c r="CY189">
        <f t="shared" si="236"/>
        <v>91.627499999999998</v>
      </c>
      <c r="CZ189">
        <f t="shared" si="237"/>
        <v>62.692500000000003</v>
      </c>
      <c r="DC189" t="s">
        <v>6</v>
      </c>
      <c r="DD189" t="s">
        <v>6</v>
      </c>
      <c r="DE189" t="s">
        <v>443</v>
      </c>
      <c r="DF189" t="s">
        <v>443</v>
      </c>
      <c r="DG189" t="s">
        <v>443</v>
      </c>
      <c r="DH189" t="s">
        <v>6</v>
      </c>
      <c r="DI189" t="s">
        <v>443</v>
      </c>
      <c r="DJ189" t="s">
        <v>443</v>
      </c>
      <c r="DK189" t="s">
        <v>6</v>
      </c>
      <c r="DL189" t="s">
        <v>6</v>
      </c>
      <c r="DM189" t="s">
        <v>6</v>
      </c>
      <c r="DN189">
        <v>0</v>
      </c>
      <c r="DO189">
        <v>0</v>
      </c>
      <c r="DP189">
        <v>1</v>
      </c>
      <c r="DQ189">
        <v>1</v>
      </c>
      <c r="DU189">
        <v>1003</v>
      </c>
      <c r="DV189" t="s">
        <v>40</v>
      </c>
      <c r="DW189" t="s">
        <v>40</v>
      </c>
      <c r="DX189">
        <v>100</v>
      </c>
      <c r="EE189">
        <v>16510370</v>
      </c>
      <c r="EF189">
        <v>3</v>
      </c>
      <c r="EG189" t="s">
        <v>50</v>
      </c>
      <c r="EH189">
        <v>0</v>
      </c>
      <c r="EI189" t="s">
        <v>6</v>
      </c>
      <c r="EJ189">
        <v>2</v>
      </c>
      <c r="EK189">
        <v>108001</v>
      </c>
      <c r="EL189" t="s">
        <v>51</v>
      </c>
      <c r="EM189" t="s">
        <v>52</v>
      </c>
      <c r="EO189" t="s">
        <v>444</v>
      </c>
      <c r="EQ189">
        <v>131072</v>
      </c>
      <c r="ER189">
        <v>87.15</v>
      </c>
      <c r="ES189">
        <v>22.69</v>
      </c>
      <c r="ET189">
        <v>5.33</v>
      </c>
      <c r="EU189">
        <v>0.76</v>
      </c>
      <c r="EV189">
        <v>59.13</v>
      </c>
      <c r="EW189">
        <v>6.29</v>
      </c>
      <c r="EX189">
        <v>0.06</v>
      </c>
      <c r="EY189">
        <v>0</v>
      </c>
      <c r="FQ189">
        <v>0</v>
      </c>
      <c r="FR189">
        <f t="shared" si="238"/>
        <v>0</v>
      </c>
      <c r="FS189">
        <v>0</v>
      </c>
      <c r="FX189">
        <v>95</v>
      </c>
      <c r="FY189">
        <v>65</v>
      </c>
      <c r="GA189" t="s">
        <v>6</v>
      </c>
      <c r="GD189">
        <v>0</v>
      </c>
      <c r="GF189">
        <v>1667817228</v>
      </c>
      <c r="GG189">
        <v>1</v>
      </c>
      <c r="GH189">
        <v>1</v>
      </c>
      <c r="GI189">
        <v>4</v>
      </c>
      <c r="GJ189">
        <v>0</v>
      </c>
      <c r="GK189">
        <f>ROUND(R189*(R12)/100,2)</f>
        <v>0</v>
      </c>
      <c r="GL189">
        <f t="shared" si="239"/>
        <v>0</v>
      </c>
      <c r="GM189">
        <f t="shared" si="240"/>
        <v>288.58</v>
      </c>
      <c r="GN189">
        <f t="shared" si="241"/>
        <v>0</v>
      </c>
      <c r="GO189">
        <f t="shared" si="242"/>
        <v>288.58</v>
      </c>
      <c r="GP189">
        <f t="shared" si="243"/>
        <v>0</v>
      </c>
      <c r="GR189">
        <v>0</v>
      </c>
      <c r="GS189">
        <v>3</v>
      </c>
      <c r="GT189">
        <v>0</v>
      </c>
      <c r="GU189" t="s">
        <v>6</v>
      </c>
      <c r="GV189">
        <f t="shared" si="244"/>
        <v>0</v>
      </c>
      <c r="GW189">
        <v>1</v>
      </c>
      <c r="GX189">
        <f t="shared" si="245"/>
        <v>0</v>
      </c>
      <c r="HA189">
        <v>0</v>
      </c>
      <c r="HB189">
        <v>0</v>
      </c>
      <c r="HC189">
        <f t="shared" si="246"/>
        <v>0</v>
      </c>
      <c r="IK189">
        <v>0</v>
      </c>
    </row>
    <row r="190" spans="1:245" x14ac:dyDescent="0.2">
      <c r="A190">
        <v>18</v>
      </c>
      <c r="B190">
        <v>1</v>
      </c>
      <c r="C190">
        <v>259</v>
      </c>
      <c r="E190" t="s">
        <v>460</v>
      </c>
      <c r="F190" t="s">
        <v>461</v>
      </c>
      <c r="G190" t="s">
        <v>462</v>
      </c>
      <c r="H190" t="s">
        <v>463</v>
      </c>
      <c r="I190">
        <f>I189*J190</f>
        <v>0.02</v>
      </c>
      <c r="J190">
        <v>9.9999999999999992E-2</v>
      </c>
      <c r="O190">
        <f t="shared" si="210"/>
        <v>928.72</v>
      </c>
      <c r="P190">
        <f t="shared" si="211"/>
        <v>928.72</v>
      </c>
      <c r="Q190">
        <f t="shared" si="212"/>
        <v>0</v>
      </c>
      <c r="R190">
        <f t="shared" si="213"/>
        <v>0</v>
      </c>
      <c r="S190">
        <f t="shared" si="214"/>
        <v>0</v>
      </c>
      <c r="T190">
        <f t="shared" si="215"/>
        <v>0</v>
      </c>
      <c r="U190">
        <f t="shared" si="216"/>
        <v>0</v>
      </c>
      <c r="V190">
        <f t="shared" si="217"/>
        <v>0</v>
      </c>
      <c r="W190">
        <f t="shared" si="218"/>
        <v>0</v>
      </c>
      <c r="X190">
        <f t="shared" si="219"/>
        <v>0</v>
      </c>
      <c r="Y190">
        <f t="shared" si="220"/>
        <v>0</v>
      </c>
      <c r="AA190">
        <v>16808636</v>
      </c>
      <c r="AB190">
        <f t="shared" si="221"/>
        <v>6920.41</v>
      </c>
      <c r="AC190">
        <f t="shared" si="222"/>
        <v>6920.41</v>
      </c>
      <c r="AD190">
        <f>ROUND((((ET190)-(EU190))+AE190),2)</f>
        <v>0</v>
      </c>
      <c r="AE190">
        <f>ROUND((EU190),2)</f>
        <v>0</v>
      </c>
      <c r="AF190">
        <f>ROUND((EV190),2)</f>
        <v>0</v>
      </c>
      <c r="AG190">
        <f t="shared" si="224"/>
        <v>0</v>
      </c>
      <c r="AH190">
        <f>(EW190)</f>
        <v>0</v>
      </c>
      <c r="AI190">
        <f>(EX190)</f>
        <v>0</v>
      </c>
      <c r="AJ190">
        <f t="shared" si="226"/>
        <v>0</v>
      </c>
      <c r="AK190">
        <v>6920.41</v>
      </c>
      <c r="AL190">
        <v>6920.41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95</v>
      </c>
      <c r="AU190">
        <v>65</v>
      </c>
      <c r="AV190">
        <v>1</v>
      </c>
      <c r="AW190">
        <v>1</v>
      </c>
      <c r="AZ190">
        <v>6.71</v>
      </c>
      <c r="BA190">
        <v>1</v>
      </c>
      <c r="BB190">
        <v>1</v>
      </c>
      <c r="BC190">
        <v>6.71</v>
      </c>
      <c r="BD190" t="s">
        <v>6</v>
      </c>
      <c r="BE190" t="s">
        <v>6</v>
      </c>
      <c r="BF190" t="s">
        <v>6</v>
      </c>
      <c r="BG190" t="s">
        <v>6</v>
      </c>
      <c r="BH190">
        <v>3</v>
      </c>
      <c r="BI190">
        <v>2</v>
      </c>
      <c r="BJ190" t="s">
        <v>464</v>
      </c>
      <c r="BM190">
        <v>108001</v>
      </c>
      <c r="BN190">
        <v>0</v>
      </c>
      <c r="BO190" t="s">
        <v>6</v>
      </c>
      <c r="BP190">
        <v>0</v>
      </c>
      <c r="BQ190">
        <v>3</v>
      </c>
      <c r="BR190">
        <v>0</v>
      </c>
      <c r="BS190">
        <v>1</v>
      </c>
      <c r="BT190">
        <v>1</v>
      </c>
      <c r="BU190">
        <v>1</v>
      </c>
      <c r="BV190">
        <v>1</v>
      </c>
      <c r="BW190">
        <v>1</v>
      </c>
      <c r="BX190">
        <v>1</v>
      </c>
      <c r="BY190" t="s">
        <v>6</v>
      </c>
      <c r="BZ190">
        <v>95</v>
      </c>
      <c r="CA190">
        <v>65</v>
      </c>
      <c r="CE190">
        <v>0</v>
      </c>
      <c r="CF190">
        <v>0</v>
      </c>
      <c r="CG190">
        <v>0</v>
      </c>
      <c r="CM190">
        <v>0</v>
      </c>
      <c r="CN190" t="s">
        <v>6</v>
      </c>
      <c r="CO190">
        <v>0</v>
      </c>
      <c r="CP190">
        <f t="shared" si="227"/>
        <v>928.72</v>
      </c>
      <c r="CQ190">
        <f t="shared" si="228"/>
        <v>46435.951099999998</v>
      </c>
      <c r="CR190">
        <f t="shared" si="229"/>
        <v>0</v>
      </c>
      <c r="CS190">
        <f t="shared" si="230"/>
        <v>0</v>
      </c>
      <c r="CT190">
        <f t="shared" si="231"/>
        <v>0</v>
      </c>
      <c r="CU190">
        <f t="shared" si="232"/>
        <v>0</v>
      </c>
      <c r="CV190">
        <f t="shared" si="233"/>
        <v>0</v>
      </c>
      <c r="CW190">
        <f t="shared" si="234"/>
        <v>0</v>
      </c>
      <c r="CX190">
        <f t="shared" si="235"/>
        <v>0</v>
      </c>
      <c r="CY190">
        <f t="shared" si="236"/>
        <v>0</v>
      </c>
      <c r="CZ190">
        <f t="shared" si="237"/>
        <v>0</v>
      </c>
      <c r="DC190" t="s">
        <v>6</v>
      </c>
      <c r="DD190" t="s">
        <v>6</v>
      </c>
      <c r="DE190" t="s">
        <v>6</v>
      </c>
      <c r="DF190" t="s">
        <v>6</v>
      </c>
      <c r="DG190" t="s">
        <v>6</v>
      </c>
      <c r="DH190" t="s">
        <v>6</v>
      </c>
      <c r="DI190" t="s">
        <v>6</v>
      </c>
      <c r="DJ190" t="s">
        <v>6</v>
      </c>
      <c r="DK190" t="s">
        <v>6</v>
      </c>
      <c r="DL190" t="s">
        <v>6</v>
      </c>
      <c r="DM190" t="s">
        <v>6</v>
      </c>
      <c r="DN190">
        <v>0</v>
      </c>
      <c r="DO190">
        <v>0</v>
      </c>
      <c r="DP190">
        <v>1</v>
      </c>
      <c r="DQ190">
        <v>1</v>
      </c>
      <c r="DU190">
        <v>1013</v>
      </c>
      <c r="DV190" t="s">
        <v>463</v>
      </c>
      <c r="DW190" t="s">
        <v>465</v>
      </c>
      <c r="DX190">
        <v>1</v>
      </c>
      <c r="EE190">
        <v>16510370</v>
      </c>
      <c r="EF190">
        <v>3</v>
      </c>
      <c r="EG190" t="s">
        <v>50</v>
      </c>
      <c r="EH190">
        <v>0</v>
      </c>
      <c r="EI190" t="s">
        <v>6</v>
      </c>
      <c r="EJ190">
        <v>2</v>
      </c>
      <c r="EK190">
        <v>108001</v>
      </c>
      <c r="EL190" t="s">
        <v>51</v>
      </c>
      <c r="EM190" t="s">
        <v>52</v>
      </c>
      <c r="EO190" t="s">
        <v>6</v>
      </c>
      <c r="EQ190">
        <v>0</v>
      </c>
      <c r="ER190">
        <v>6920.41</v>
      </c>
      <c r="ES190">
        <v>6920.41</v>
      </c>
      <c r="ET190">
        <v>0</v>
      </c>
      <c r="EU190">
        <v>0</v>
      </c>
      <c r="EV190">
        <v>0</v>
      </c>
      <c r="EW190">
        <v>0</v>
      </c>
      <c r="EX190">
        <v>0</v>
      </c>
      <c r="FQ190">
        <v>0</v>
      </c>
      <c r="FR190">
        <f t="shared" si="238"/>
        <v>0</v>
      </c>
      <c r="FS190">
        <v>0</v>
      </c>
      <c r="FX190">
        <v>95</v>
      </c>
      <c r="FY190">
        <v>65</v>
      </c>
      <c r="GA190" t="s">
        <v>6</v>
      </c>
      <c r="GD190">
        <v>0</v>
      </c>
      <c r="GF190">
        <v>559331636</v>
      </c>
      <c r="GG190">
        <v>1</v>
      </c>
      <c r="GH190">
        <v>1</v>
      </c>
      <c r="GI190">
        <v>4</v>
      </c>
      <c r="GJ190">
        <v>0</v>
      </c>
      <c r="GK190">
        <f>ROUND(R190*(R12)/100,2)</f>
        <v>0</v>
      </c>
      <c r="GL190">
        <f t="shared" si="239"/>
        <v>0</v>
      </c>
      <c r="GM190">
        <f t="shared" si="240"/>
        <v>928.72</v>
      </c>
      <c r="GN190">
        <f t="shared" si="241"/>
        <v>0</v>
      </c>
      <c r="GO190">
        <f t="shared" si="242"/>
        <v>928.72</v>
      </c>
      <c r="GP190">
        <f t="shared" si="243"/>
        <v>0</v>
      </c>
      <c r="GR190">
        <v>0</v>
      </c>
      <c r="GS190">
        <v>3</v>
      </c>
      <c r="GT190">
        <v>0</v>
      </c>
      <c r="GU190" t="s">
        <v>6</v>
      </c>
      <c r="GV190">
        <f t="shared" si="244"/>
        <v>0</v>
      </c>
      <c r="GW190">
        <v>1</v>
      </c>
      <c r="GX190">
        <f t="shared" si="245"/>
        <v>0</v>
      </c>
      <c r="HA190">
        <v>0</v>
      </c>
      <c r="HB190">
        <v>0</v>
      </c>
      <c r="HC190">
        <f t="shared" si="246"/>
        <v>0</v>
      </c>
      <c r="IK190">
        <v>0</v>
      </c>
    </row>
    <row r="191" spans="1:245" x14ac:dyDescent="0.2">
      <c r="A191">
        <v>17</v>
      </c>
      <c r="B191">
        <v>1</v>
      </c>
      <c r="C191">
        <f>ROW(SmtRes!A267)</f>
        <v>267</v>
      </c>
      <c r="D191">
        <f>ROW(EtalonRes!A247)</f>
        <v>247</v>
      </c>
      <c r="E191" t="s">
        <v>466</v>
      </c>
      <c r="F191" t="s">
        <v>467</v>
      </c>
      <c r="G191" t="s">
        <v>468</v>
      </c>
      <c r="H191" t="s">
        <v>40</v>
      </c>
      <c r="I191">
        <f>ROUND(278/100,9)</f>
        <v>2.78</v>
      </c>
      <c r="J191">
        <v>0</v>
      </c>
      <c r="O191">
        <f t="shared" si="210"/>
        <v>6074.61</v>
      </c>
      <c r="P191">
        <f t="shared" si="211"/>
        <v>1739.84</v>
      </c>
      <c r="Q191">
        <f t="shared" si="212"/>
        <v>6.9</v>
      </c>
      <c r="R191">
        <f t="shared" si="213"/>
        <v>3.17</v>
      </c>
      <c r="S191">
        <f t="shared" si="214"/>
        <v>4327.87</v>
      </c>
      <c r="T191">
        <f t="shared" si="215"/>
        <v>0</v>
      </c>
      <c r="U191">
        <f t="shared" si="216"/>
        <v>67.820879999999988</v>
      </c>
      <c r="V191">
        <f t="shared" si="217"/>
        <v>3.3360000000000001E-2</v>
      </c>
      <c r="W191">
        <f t="shared" si="218"/>
        <v>0</v>
      </c>
      <c r="X191">
        <f t="shared" si="219"/>
        <v>4114.49</v>
      </c>
      <c r="Y191">
        <f t="shared" si="220"/>
        <v>2815.18</v>
      </c>
      <c r="AA191">
        <v>16808636</v>
      </c>
      <c r="AB191">
        <f t="shared" si="221"/>
        <v>325.64999999999998</v>
      </c>
      <c r="AC191">
        <f t="shared" si="222"/>
        <v>93.27</v>
      </c>
      <c r="AD191">
        <f>ROUND(((((ET191*1.2))-((EU191*1.2)))+AE191),2)</f>
        <v>0.37</v>
      </c>
      <c r="AE191">
        <f>ROUND(((EU191*1.2)),2)</f>
        <v>0.17</v>
      </c>
      <c r="AF191">
        <f>ROUND(((EV191*1.2)),2)</f>
        <v>232.01</v>
      </c>
      <c r="AG191">
        <f t="shared" si="224"/>
        <v>0</v>
      </c>
      <c r="AH191">
        <f>((EW191*1.2))</f>
        <v>24.395999999999997</v>
      </c>
      <c r="AI191">
        <f>((EX191*1.2))</f>
        <v>1.2E-2</v>
      </c>
      <c r="AJ191">
        <f t="shared" si="226"/>
        <v>0</v>
      </c>
      <c r="AK191">
        <v>286.92</v>
      </c>
      <c r="AL191">
        <v>93.27</v>
      </c>
      <c r="AM191">
        <v>0.31</v>
      </c>
      <c r="AN191">
        <v>0.14000000000000001</v>
      </c>
      <c r="AO191">
        <v>193.34</v>
      </c>
      <c r="AP191">
        <v>0</v>
      </c>
      <c r="AQ191">
        <v>20.329999999999998</v>
      </c>
      <c r="AR191">
        <v>0.01</v>
      </c>
      <c r="AS191">
        <v>0</v>
      </c>
      <c r="AT191">
        <v>95</v>
      </c>
      <c r="AU191">
        <v>65</v>
      </c>
      <c r="AV191">
        <v>1</v>
      </c>
      <c r="AW191">
        <v>1</v>
      </c>
      <c r="AZ191">
        <v>6.71</v>
      </c>
      <c r="BA191">
        <v>6.71</v>
      </c>
      <c r="BB191">
        <v>6.71</v>
      </c>
      <c r="BC191">
        <v>6.71</v>
      </c>
      <c r="BD191" t="s">
        <v>6</v>
      </c>
      <c r="BE191" t="s">
        <v>6</v>
      </c>
      <c r="BF191" t="s">
        <v>6</v>
      </c>
      <c r="BG191" t="s">
        <v>6</v>
      </c>
      <c r="BH191">
        <v>0</v>
      </c>
      <c r="BI191">
        <v>2</v>
      </c>
      <c r="BJ191" t="s">
        <v>469</v>
      </c>
      <c r="BM191">
        <v>108001</v>
      </c>
      <c r="BN191">
        <v>0</v>
      </c>
      <c r="BO191" t="s">
        <v>6</v>
      </c>
      <c r="BP191">
        <v>0</v>
      </c>
      <c r="BQ191">
        <v>3</v>
      </c>
      <c r="BR191">
        <v>0</v>
      </c>
      <c r="BS191">
        <v>6.71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6</v>
      </c>
      <c r="BZ191">
        <v>95</v>
      </c>
      <c r="CA191">
        <v>65</v>
      </c>
      <c r="CE191">
        <v>0</v>
      </c>
      <c r="CF191">
        <v>0</v>
      </c>
      <c r="CG191">
        <v>0</v>
      </c>
      <c r="CM191">
        <v>0</v>
      </c>
      <c r="CN191" t="s">
        <v>442</v>
      </c>
      <c r="CO191">
        <v>0</v>
      </c>
      <c r="CP191">
        <f t="shared" si="227"/>
        <v>6074.61</v>
      </c>
      <c r="CQ191">
        <f t="shared" si="228"/>
        <v>625.84169999999995</v>
      </c>
      <c r="CR191">
        <f t="shared" si="229"/>
        <v>2.4826999999999999</v>
      </c>
      <c r="CS191">
        <f t="shared" si="230"/>
        <v>1.1407</v>
      </c>
      <c r="CT191">
        <f t="shared" si="231"/>
        <v>1556.7871</v>
      </c>
      <c r="CU191">
        <f t="shared" si="232"/>
        <v>0</v>
      </c>
      <c r="CV191">
        <f t="shared" si="233"/>
        <v>24.395999999999997</v>
      </c>
      <c r="CW191">
        <f t="shared" si="234"/>
        <v>1.2E-2</v>
      </c>
      <c r="CX191">
        <f t="shared" si="235"/>
        <v>0</v>
      </c>
      <c r="CY191">
        <f t="shared" si="236"/>
        <v>4114.4880000000003</v>
      </c>
      <c r="CZ191">
        <f t="shared" si="237"/>
        <v>2815.1759999999999</v>
      </c>
      <c r="DC191" t="s">
        <v>6</v>
      </c>
      <c r="DD191" t="s">
        <v>6</v>
      </c>
      <c r="DE191" t="s">
        <v>443</v>
      </c>
      <c r="DF191" t="s">
        <v>443</v>
      </c>
      <c r="DG191" t="s">
        <v>443</v>
      </c>
      <c r="DH191" t="s">
        <v>6</v>
      </c>
      <c r="DI191" t="s">
        <v>443</v>
      </c>
      <c r="DJ191" t="s">
        <v>443</v>
      </c>
      <c r="DK191" t="s">
        <v>6</v>
      </c>
      <c r="DL191" t="s">
        <v>6</v>
      </c>
      <c r="DM191" t="s">
        <v>6</v>
      </c>
      <c r="DN191">
        <v>0</v>
      </c>
      <c r="DO191">
        <v>0</v>
      </c>
      <c r="DP191">
        <v>1</v>
      </c>
      <c r="DQ191">
        <v>1</v>
      </c>
      <c r="DU191">
        <v>1003</v>
      </c>
      <c r="DV191" t="s">
        <v>40</v>
      </c>
      <c r="DW191" t="s">
        <v>40</v>
      </c>
      <c r="DX191">
        <v>100</v>
      </c>
      <c r="EE191">
        <v>16510370</v>
      </c>
      <c r="EF191">
        <v>3</v>
      </c>
      <c r="EG191" t="s">
        <v>50</v>
      </c>
      <c r="EH191">
        <v>0</v>
      </c>
      <c r="EI191" t="s">
        <v>6</v>
      </c>
      <c r="EJ191">
        <v>2</v>
      </c>
      <c r="EK191">
        <v>108001</v>
      </c>
      <c r="EL191" t="s">
        <v>51</v>
      </c>
      <c r="EM191" t="s">
        <v>52</v>
      </c>
      <c r="EO191" t="s">
        <v>444</v>
      </c>
      <c r="EQ191">
        <v>131072</v>
      </c>
      <c r="ER191">
        <v>286.92</v>
      </c>
      <c r="ES191">
        <v>93.27</v>
      </c>
      <c r="ET191">
        <v>0.31</v>
      </c>
      <c r="EU191">
        <v>0.14000000000000001</v>
      </c>
      <c r="EV191">
        <v>193.34</v>
      </c>
      <c r="EW191">
        <v>20.329999999999998</v>
      </c>
      <c r="EX191">
        <v>0.01</v>
      </c>
      <c r="EY191">
        <v>0</v>
      </c>
      <c r="FQ191">
        <v>0</v>
      </c>
      <c r="FR191">
        <f t="shared" si="238"/>
        <v>0</v>
      </c>
      <c r="FS191">
        <v>0</v>
      </c>
      <c r="FX191">
        <v>95</v>
      </c>
      <c r="FY191">
        <v>65</v>
      </c>
      <c r="GA191" t="s">
        <v>6</v>
      </c>
      <c r="GD191">
        <v>0</v>
      </c>
      <c r="GF191">
        <v>816409345</v>
      </c>
      <c r="GG191">
        <v>1</v>
      </c>
      <c r="GH191">
        <v>1</v>
      </c>
      <c r="GI191">
        <v>4</v>
      </c>
      <c r="GJ191">
        <v>0</v>
      </c>
      <c r="GK191">
        <f>ROUND(R191*(R12)/100,2)</f>
        <v>0</v>
      </c>
      <c r="GL191">
        <f t="shared" si="239"/>
        <v>0</v>
      </c>
      <c r="GM191">
        <f t="shared" si="240"/>
        <v>13004.28</v>
      </c>
      <c r="GN191">
        <f t="shared" si="241"/>
        <v>0</v>
      </c>
      <c r="GO191">
        <f t="shared" si="242"/>
        <v>13004.28</v>
      </c>
      <c r="GP191">
        <f t="shared" si="243"/>
        <v>0</v>
      </c>
      <c r="GR191">
        <v>0</v>
      </c>
      <c r="GS191">
        <v>3</v>
      </c>
      <c r="GT191">
        <v>0</v>
      </c>
      <c r="GU191" t="s">
        <v>6</v>
      </c>
      <c r="GV191">
        <f t="shared" si="244"/>
        <v>0</v>
      </c>
      <c r="GW191">
        <v>1</v>
      </c>
      <c r="GX191">
        <f t="shared" si="245"/>
        <v>0</v>
      </c>
      <c r="HA191">
        <v>0</v>
      </c>
      <c r="HB191">
        <v>0</v>
      </c>
      <c r="HC191">
        <f t="shared" si="246"/>
        <v>0</v>
      </c>
      <c r="IK191">
        <v>0</v>
      </c>
    </row>
    <row r="192" spans="1:245" x14ac:dyDescent="0.2">
      <c r="A192">
        <v>18</v>
      </c>
      <c r="B192">
        <v>1</v>
      </c>
      <c r="C192">
        <v>266</v>
      </c>
      <c r="E192" t="s">
        <v>470</v>
      </c>
      <c r="F192" t="s">
        <v>471</v>
      </c>
      <c r="G192" t="s">
        <v>472</v>
      </c>
      <c r="H192" t="s">
        <v>40</v>
      </c>
      <c r="I192">
        <f>I191*J192</f>
        <v>2.78</v>
      </c>
      <c r="J192">
        <v>1</v>
      </c>
      <c r="O192">
        <f t="shared" si="210"/>
        <v>133430.82</v>
      </c>
      <c r="P192">
        <f t="shared" si="211"/>
        <v>133430.82</v>
      </c>
      <c r="Q192">
        <f t="shared" si="212"/>
        <v>0</v>
      </c>
      <c r="R192">
        <f t="shared" si="213"/>
        <v>0</v>
      </c>
      <c r="S192">
        <f t="shared" si="214"/>
        <v>0</v>
      </c>
      <c r="T192">
        <f t="shared" si="215"/>
        <v>0</v>
      </c>
      <c r="U192">
        <f t="shared" si="216"/>
        <v>0</v>
      </c>
      <c r="V192">
        <f t="shared" si="217"/>
        <v>0</v>
      </c>
      <c r="W192">
        <f t="shared" si="218"/>
        <v>0</v>
      </c>
      <c r="X192">
        <f t="shared" si="219"/>
        <v>0</v>
      </c>
      <c r="Y192">
        <f t="shared" si="220"/>
        <v>0</v>
      </c>
      <c r="AA192">
        <v>16808636</v>
      </c>
      <c r="AB192">
        <f t="shared" si="221"/>
        <v>7153.01</v>
      </c>
      <c r="AC192">
        <f t="shared" si="222"/>
        <v>7153.01</v>
      </c>
      <c r="AD192">
        <f>ROUND((((ET192)-(EU192))+AE192),2)</f>
        <v>0</v>
      </c>
      <c r="AE192">
        <f>ROUND((EU192),2)</f>
        <v>0</v>
      </c>
      <c r="AF192">
        <f>ROUND((EV192),2)</f>
        <v>0</v>
      </c>
      <c r="AG192">
        <f t="shared" si="224"/>
        <v>0</v>
      </c>
      <c r="AH192">
        <f>(EW192)</f>
        <v>0</v>
      </c>
      <c r="AI192">
        <f>(EX192)</f>
        <v>0</v>
      </c>
      <c r="AJ192">
        <f t="shared" si="226"/>
        <v>0</v>
      </c>
      <c r="AK192">
        <v>7153.01</v>
      </c>
      <c r="AL192">
        <v>7153.01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95</v>
      </c>
      <c r="AU192">
        <v>65</v>
      </c>
      <c r="AV192">
        <v>1</v>
      </c>
      <c r="AW192">
        <v>1</v>
      </c>
      <c r="AZ192">
        <v>6.71</v>
      </c>
      <c r="BA192">
        <v>1</v>
      </c>
      <c r="BB192">
        <v>1</v>
      </c>
      <c r="BC192">
        <v>6.71</v>
      </c>
      <c r="BD192" t="s">
        <v>6</v>
      </c>
      <c r="BE192" t="s">
        <v>6</v>
      </c>
      <c r="BF192" t="s">
        <v>6</v>
      </c>
      <c r="BG192" t="s">
        <v>6</v>
      </c>
      <c r="BH192">
        <v>3</v>
      </c>
      <c r="BI192">
        <v>2</v>
      </c>
      <c r="BJ192" t="s">
        <v>473</v>
      </c>
      <c r="BM192">
        <v>108001</v>
      </c>
      <c r="BN192">
        <v>0</v>
      </c>
      <c r="BO192" t="s">
        <v>6</v>
      </c>
      <c r="BP192">
        <v>0</v>
      </c>
      <c r="BQ192">
        <v>3</v>
      </c>
      <c r="BR192">
        <v>0</v>
      </c>
      <c r="BS192">
        <v>1</v>
      </c>
      <c r="BT192">
        <v>1</v>
      </c>
      <c r="BU192">
        <v>1</v>
      </c>
      <c r="BV192">
        <v>1</v>
      </c>
      <c r="BW192">
        <v>1</v>
      </c>
      <c r="BX192">
        <v>1</v>
      </c>
      <c r="BY192" t="s">
        <v>6</v>
      </c>
      <c r="BZ192">
        <v>95</v>
      </c>
      <c r="CA192">
        <v>65</v>
      </c>
      <c r="CE192">
        <v>0</v>
      </c>
      <c r="CF192">
        <v>0</v>
      </c>
      <c r="CG192">
        <v>0</v>
      </c>
      <c r="CM192">
        <v>0</v>
      </c>
      <c r="CN192" t="s">
        <v>6</v>
      </c>
      <c r="CO192">
        <v>0</v>
      </c>
      <c r="CP192">
        <f t="shared" si="227"/>
        <v>133430.82</v>
      </c>
      <c r="CQ192">
        <f t="shared" si="228"/>
        <v>47996.697099999998</v>
      </c>
      <c r="CR192">
        <f t="shared" si="229"/>
        <v>0</v>
      </c>
      <c r="CS192">
        <f t="shared" si="230"/>
        <v>0</v>
      </c>
      <c r="CT192">
        <f t="shared" si="231"/>
        <v>0</v>
      </c>
      <c r="CU192">
        <f t="shared" si="232"/>
        <v>0</v>
      </c>
      <c r="CV192">
        <f t="shared" si="233"/>
        <v>0</v>
      </c>
      <c r="CW192">
        <f t="shared" si="234"/>
        <v>0</v>
      </c>
      <c r="CX192">
        <f t="shared" si="235"/>
        <v>0</v>
      </c>
      <c r="CY192">
        <f t="shared" si="236"/>
        <v>0</v>
      </c>
      <c r="CZ192">
        <f t="shared" si="237"/>
        <v>0</v>
      </c>
      <c r="DC192" t="s">
        <v>6</v>
      </c>
      <c r="DD192" t="s">
        <v>6</v>
      </c>
      <c r="DE192" t="s">
        <v>6</v>
      </c>
      <c r="DF192" t="s">
        <v>6</v>
      </c>
      <c r="DG192" t="s">
        <v>6</v>
      </c>
      <c r="DH192" t="s">
        <v>6</v>
      </c>
      <c r="DI192" t="s">
        <v>6</v>
      </c>
      <c r="DJ192" t="s">
        <v>6</v>
      </c>
      <c r="DK192" t="s">
        <v>6</v>
      </c>
      <c r="DL192" t="s">
        <v>6</v>
      </c>
      <c r="DM192" t="s">
        <v>6</v>
      </c>
      <c r="DN192">
        <v>0</v>
      </c>
      <c r="DO192">
        <v>0</v>
      </c>
      <c r="DP192">
        <v>1</v>
      </c>
      <c r="DQ192">
        <v>1</v>
      </c>
      <c r="DU192">
        <v>1003</v>
      </c>
      <c r="DV192" t="s">
        <v>40</v>
      </c>
      <c r="DW192" t="s">
        <v>40</v>
      </c>
      <c r="DX192">
        <v>100</v>
      </c>
      <c r="EE192">
        <v>16510370</v>
      </c>
      <c r="EF192">
        <v>3</v>
      </c>
      <c r="EG192" t="s">
        <v>50</v>
      </c>
      <c r="EH192">
        <v>0</v>
      </c>
      <c r="EI192" t="s">
        <v>6</v>
      </c>
      <c r="EJ192">
        <v>2</v>
      </c>
      <c r="EK192">
        <v>108001</v>
      </c>
      <c r="EL192" t="s">
        <v>51</v>
      </c>
      <c r="EM192" t="s">
        <v>52</v>
      </c>
      <c r="EO192" t="s">
        <v>6</v>
      </c>
      <c r="EQ192">
        <v>0</v>
      </c>
      <c r="ER192">
        <v>7153.01</v>
      </c>
      <c r="ES192">
        <v>7153.01</v>
      </c>
      <c r="ET192">
        <v>0</v>
      </c>
      <c r="EU192">
        <v>0</v>
      </c>
      <c r="EV192">
        <v>0</v>
      </c>
      <c r="EW192">
        <v>0</v>
      </c>
      <c r="EX192">
        <v>0</v>
      </c>
      <c r="FQ192">
        <v>0</v>
      </c>
      <c r="FR192">
        <f t="shared" si="238"/>
        <v>0</v>
      </c>
      <c r="FS192">
        <v>0</v>
      </c>
      <c r="FX192">
        <v>95</v>
      </c>
      <c r="FY192">
        <v>65</v>
      </c>
      <c r="GA192" t="s">
        <v>6</v>
      </c>
      <c r="GD192">
        <v>0</v>
      </c>
      <c r="GF192">
        <v>625208561</v>
      </c>
      <c r="GG192">
        <v>1</v>
      </c>
      <c r="GH192">
        <v>1</v>
      </c>
      <c r="GI192">
        <v>4</v>
      </c>
      <c r="GJ192">
        <v>0</v>
      </c>
      <c r="GK192">
        <f>ROUND(R192*(R12)/100,2)</f>
        <v>0</v>
      </c>
      <c r="GL192">
        <f t="shared" si="239"/>
        <v>0</v>
      </c>
      <c r="GM192">
        <f t="shared" si="240"/>
        <v>133430.82</v>
      </c>
      <c r="GN192">
        <f t="shared" si="241"/>
        <v>0</v>
      </c>
      <c r="GO192">
        <f t="shared" si="242"/>
        <v>133430.82</v>
      </c>
      <c r="GP192">
        <f t="shared" si="243"/>
        <v>0</v>
      </c>
      <c r="GR192">
        <v>0</v>
      </c>
      <c r="GS192">
        <v>3</v>
      </c>
      <c r="GT192">
        <v>0</v>
      </c>
      <c r="GU192" t="s">
        <v>6</v>
      </c>
      <c r="GV192">
        <f t="shared" si="244"/>
        <v>0</v>
      </c>
      <c r="GW192">
        <v>1</v>
      </c>
      <c r="GX192">
        <f t="shared" si="245"/>
        <v>0</v>
      </c>
      <c r="HA192">
        <v>0</v>
      </c>
      <c r="HB192">
        <v>0</v>
      </c>
      <c r="HC192">
        <f t="shared" si="246"/>
        <v>0</v>
      </c>
      <c r="IK192">
        <v>0</v>
      </c>
    </row>
    <row r="193" spans="1:245" x14ac:dyDescent="0.2">
      <c r="A193">
        <v>17</v>
      </c>
      <c r="B193">
        <v>1</v>
      </c>
      <c r="C193">
        <f>ROW(SmtRes!A274)</f>
        <v>274</v>
      </c>
      <c r="D193">
        <f>ROW(EtalonRes!A253)</f>
        <v>253</v>
      </c>
      <c r="E193" t="s">
        <v>474</v>
      </c>
      <c r="F193" t="s">
        <v>55</v>
      </c>
      <c r="G193" t="s">
        <v>475</v>
      </c>
      <c r="H193" t="s">
        <v>40</v>
      </c>
      <c r="I193">
        <f>ROUND(149/100,9)</f>
        <v>1.49</v>
      </c>
      <c r="J193">
        <v>0</v>
      </c>
      <c r="O193">
        <f t="shared" si="210"/>
        <v>2377.5</v>
      </c>
      <c r="P193">
        <f t="shared" si="211"/>
        <v>515.19000000000005</v>
      </c>
      <c r="Q193">
        <f t="shared" si="212"/>
        <v>3.7</v>
      </c>
      <c r="R193">
        <f t="shared" si="213"/>
        <v>1.7</v>
      </c>
      <c r="S193">
        <f t="shared" si="214"/>
        <v>1858.61</v>
      </c>
      <c r="T193">
        <f t="shared" si="215"/>
        <v>0</v>
      </c>
      <c r="U193">
        <f t="shared" si="216"/>
        <v>29.126519999999996</v>
      </c>
      <c r="V193">
        <f t="shared" si="217"/>
        <v>1.788E-2</v>
      </c>
      <c r="W193">
        <f t="shared" si="218"/>
        <v>0</v>
      </c>
      <c r="X193">
        <f t="shared" si="219"/>
        <v>1767.29</v>
      </c>
      <c r="Y193">
        <f t="shared" si="220"/>
        <v>1209.2</v>
      </c>
      <c r="AA193">
        <v>16808636</v>
      </c>
      <c r="AB193">
        <f t="shared" si="221"/>
        <v>237.8</v>
      </c>
      <c r="AC193">
        <f t="shared" si="222"/>
        <v>51.53</v>
      </c>
      <c r="AD193">
        <f>ROUND(((((ET193*1.2))-((EU193*1.2)))+AE193),2)</f>
        <v>0.37</v>
      </c>
      <c r="AE193">
        <f>ROUND(((EU193*1.2)),2)</f>
        <v>0.17</v>
      </c>
      <c r="AF193">
        <f>ROUND(((EV193*1.2)),2)</f>
        <v>185.9</v>
      </c>
      <c r="AG193">
        <f t="shared" si="224"/>
        <v>0</v>
      </c>
      <c r="AH193">
        <f>((EW193*1.2))</f>
        <v>19.547999999999998</v>
      </c>
      <c r="AI193">
        <f>((EX193*1.2))</f>
        <v>1.2E-2</v>
      </c>
      <c r="AJ193">
        <f t="shared" si="226"/>
        <v>0</v>
      </c>
      <c r="AK193">
        <v>206.76</v>
      </c>
      <c r="AL193">
        <v>51.53</v>
      </c>
      <c r="AM193">
        <v>0.31</v>
      </c>
      <c r="AN193">
        <v>0.14000000000000001</v>
      </c>
      <c r="AO193">
        <v>154.91999999999999</v>
      </c>
      <c r="AP193">
        <v>0</v>
      </c>
      <c r="AQ193">
        <v>16.29</v>
      </c>
      <c r="AR193">
        <v>0.01</v>
      </c>
      <c r="AS193">
        <v>0</v>
      </c>
      <c r="AT193">
        <v>95</v>
      </c>
      <c r="AU193">
        <v>65</v>
      </c>
      <c r="AV193">
        <v>1</v>
      </c>
      <c r="AW193">
        <v>1</v>
      </c>
      <c r="AZ193">
        <v>6.71</v>
      </c>
      <c r="BA193">
        <v>6.71</v>
      </c>
      <c r="BB193">
        <v>6.71</v>
      </c>
      <c r="BC193">
        <v>6.71</v>
      </c>
      <c r="BD193" t="s">
        <v>6</v>
      </c>
      <c r="BE193" t="s">
        <v>6</v>
      </c>
      <c r="BF193" t="s">
        <v>6</v>
      </c>
      <c r="BG193" t="s">
        <v>6</v>
      </c>
      <c r="BH193">
        <v>0</v>
      </c>
      <c r="BI193">
        <v>2</v>
      </c>
      <c r="BJ193" t="s">
        <v>57</v>
      </c>
      <c r="BM193">
        <v>108001</v>
      </c>
      <c r="BN193">
        <v>0</v>
      </c>
      <c r="BO193" t="s">
        <v>6</v>
      </c>
      <c r="BP193">
        <v>0</v>
      </c>
      <c r="BQ193">
        <v>3</v>
      </c>
      <c r="BR193">
        <v>0</v>
      </c>
      <c r="BS193">
        <v>6.71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6</v>
      </c>
      <c r="BZ193">
        <v>95</v>
      </c>
      <c r="CA193">
        <v>65</v>
      </c>
      <c r="CE193">
        <v>0</v>
      </c>
      <c r="CF193">
        <v>0</v>
      </c>
      <c r="CG193">
        <v>0</v>
      </c>
      <c r="CM193">
        <v>0</v>
      </c>
      <c r="CN193" t="s">
        <v>442</v>
      </c>
      <c r="CO193">
        <v>0</v>
      </c>
      <c r="CP193">
        <f t="shared" si="227"/>
        <v>2377.5</v>
      </c>
      <c r="CQ193">
        <f t="shared" si="228"/>
        <v>345.7663</v>
      </c>
      <c r="CR193">
        <f t="shared" si="229"/>
        <v>2.4826999999999999</v>
      </c>
      <c r="CS193">
        <f t="shared" si="230"/>
        <v>1.1407</v>
      </c>
      <c r="CT193">
        <f t="shared" si="231"/>
        <v>1247.3890000000001</v>
      </c>
      <c r="CU193">
        <f t="shared" si="232"/>
        <v>0</v>
      </c>
      <c r="CV193">
        <f t="shared" si="233"/>
        <v>19.547999999999998</v>
      </c>
      <c r="CW193">
        <f t="shared" si="234"/>
        <v>1.2E-2</v>
      </c>
      <c r="CX193">
        <f t="shared" si="235"/>
        <v>0</v>
      </c>
      <c r="CY193">
        <f t="shared" si="236"/>
        <v>1767.2944999999997</v>
      </c>
      <c r="CZ193">
        <f t="shared" si="237"/>
        <v>1209.2014999999999</v>
      </c>
      <c r="DC193" t="s">
        <v>6</v>
      </c>
      <c r="DD193" t="s">
        <v>6</v>
      </c>
      <c r="DE193" t="s">
        <v>443</v>
      </c>
      <c r="DF193" t="s">
        <v>443</v>
      </c>
      <c r="DG193" t="s">
        <v>443</v>
      </c>
      <c r="DH193" t="s">
        <v>6</v>
      </c>
      <c r="DI193" t="s">
        <v>443</v>
      </c>
      <c r="DJ193" t="s">
        <v>443</v>
      </c>
      <c r="DK193" t="s">
        <v>6</v>
      </c>
      <c r="DL193" t="s">
        <v>6</v>
      </c>
      <c r="DM193" t="s">
        <v>6</v>
      </c>
      <c r="DN193">
        <v>0</v>
      </c>
      <c r="DO193">
        <v>0</v>
      </c>
      <c r="DP193">
        <v>1</v>
      </c>
      <c r="DQ193">
        <v>1</v>
      </c>
      <c r="DU193">
        <v>1003</v>
      </c>
      <c r="DV193" t="s">
        <v>40</v>
      </c>
      <c r="DW193" t="s">
        <v>40</v>
      </c>
      <c r="DX193">
        <v>100</v>
      </c>
      <c r="EE193">
        <v>16510370</v>
      </c>
      <c r="EF193">
        <v>3</v>
      </c>
      <c r="EG193" t="s">
        <v>50</v>
      </c>
      <c r="EH193">
        <v>0</v>
      </c>
      <c r="EI193" t="s">
        <v>6</v>
      </c>
      <c r="EJ193">
        <v>2</v>
      </c>
      <c r="EK193">
        <v>108001</v>
      </c>
      <c r="EL193" t="s">
        <v>51</v>
      </c>
      <c r="EM193" t="s">
        <v>52</v>
      </c>
      <c r="EO193" t="s">
        <v>444</v>
      </c>
      <c r="EQ193">
        <v>131072</v>
      </c>
      <c r="ER193">
        <v>206.76</v>
      </c>
      <c r="ES193">
        <v>51.53</v>
      </c>
      <c r="ET193">
        <v>0.31</v>
      </c>
      <c r="EU193">
        <v>0.14000000000000001</v>
      </c>
      <c r="EV193">
        <v>154.91999999999999</v>
      </c>
      <c r="EW193">
        <v>16.29</v>
      </c>
      <c r="EX193">
        <v>0.01</v>
      </c>
      <c r="EY193">
        <v>0</v>
      </c>
      <c r="FQ193">
        <v>0</v>
      </c>
      <c r="FR193">
        <f t="shared" si="238"/>
        <v>0</v>
      </c>
      <c r="FS193">
        <v>0</v>
      </c>
      <c r="FX193">
        <v>95</v>
      </c>
      <c r="FY193">
        <v>65</v>
      </c>
      <c r="GA193" t="s">
        <v>6</v>
      </c>
      <c r="GD193">
        <v>0</v>
      </c>
      <c r="GF193">
        <v>-1776686347</v>
      </c>
      <c r="GG193">
        <v>1</v>
      </c>
      <c r="GH193">
        <v>1</v>
      </c>
      <c r="GI193">
        <v>4</v>
      </c>
      <c r="GJ193">
        <v>0</v>
      </c>
      <c r="GK193">
        <f>ROUND(R193*(R12)/100,2)</f>
        <v>0</v>
      </c>
      <c r="GL193">
        <f t="shared" si="239"/>
        <v>0</v>
      </c>
      <c r="GM193">
        <f t="shared" si="240"/>
        <v>5353.99</v>
      </c>
      <c r="GN193">
        <f t="shared" si="241"/>
        <v>0</v>
      </c>
      <c r="GO193">
        <f t="shared" si="242"/>
        <v>5353.99</v>
      </c>
      <c r="GP193">
        <f t="shared" si="243"/>
        <v>0</v>
      </c>
      <c r="GR193">
        <v>0</v>
      </c>
      <c r="GS193">
        <v>3</v>
      </c>
      <c r="GT193">
        <v>0</v>
      </c>
      <c r="GU193" t="s">
        <v>6</v>
      </c>
      <c r="GV193">
        <f t="shared" si="244"/>
        <v>0</v>
      </c>
      <c r="GW193">
        <v>1</v>
      </c>
      <c r="GX193">
        <f t="shared" si="245"/>
        <v>0</v>
      </c>
      <c r="HA193">
        <v>0</v>
      </c>
      <c r="HB193">
        <v>0</v>
      </c>
      <c r="HC193">
        <f t="shared" si="246"/>
        <v>0</v>
      </c>
      <c r="IK193">
        <v>0</v>
      </c>
    </row>
    <row r="194" spans="1:245" x14ac:dyDescent="0.2">
      <c r="A194">
        <v>18</v>
      </c>
      <c r="B194">
        <v>1</v>
      </c>
      <c r="C194">
        <v>273</v>
      </c>
      <c r="E194" t="s">
        <v>476</v>
      </c>
      <c r="F194" t="s">
        <v>477</v>
      </c>
      <c r="G194" t="s">
        <v>478</v>
      </c>
      <c r="H194" t="s">
        <v>40</v>
      </c>
      <c r="I194">
        <f>I193*J194</f>
        <v>1.49</v>
      </c>
      <c r="J194">
        <v>1</v>
      </c>
      <c r="O194">
        <f t="shared" si="210"/>
        <v>7148.5</v>
      </c>
      <c r="P194">
        <f t="shared" si="211"/>
        <v>7148.5</v>
      </c>
      <c r="Q194">
        <f t="shared" si="212"/>
        <v>0</v>
      </c>
      <c r="R194">
        <f t="shared" si="213"/>
        <v>0</v>
      </c>
      <c r="S194">
        <f t="shared" si="214"/>
        <v>0</v>
      </c>
      <c r="T194">
        <f t="shared" si="215"/>
        <v>0</v>
      </c>
      <c r="U194">
        <f t="shared" si="216"/>
        <v>0</v>
      </c>
      <c r="V194">
        <f t="shared" si="217"/>
        <v>0</v>
      </c>
      <c r="W194">
        <f t="shared" si="218"/>
        <v>0</v>
      </c>
      <c r="X194">
        <f t="shared" si="219"/>
        <v>0</v>
      </c>
      <c r="Y194">
        <f t="shared" si="220"/>
        <v>0</v>
      </c>
      <c r="AA194">
        <v>16808636</v>
      </c>
      <c r="AB194">
        <f t="shared" si="221"/>
        <v>715</v>
      </c>
      <c r="AC194">
        <f t="shared" si="222"/>
        <v>715</v>
      </c>
      <c r="AD194">
        <f>ROUND((((ET194)-(EU194))+AE194),2)</f>
        <v>0</v>
      </c>
      <c r="AE194">
        <f>ROUND((EU194),2)</f>
        <v>0</v>
      </c>
      <c r="AF194">
        <f>ROUND((EV194),2)</f>
        <v>0</v>
      </c>
      <c r="AG194">
        <f t="shared" si="224"/>
        <v>0</v>
      </c>
      <c r="AH194">
        <f>(EW194)</f>
        <v>0</v>
      </c>
      <c r="AI194">
        <f>(EX194)</f>
        <v>0</v>
      </c>
      <c r="AJ194">
        <f t="shared" si="226"/>
        <v>0</v>
      </c>
      <c r="AK194">
        <v>715</v>
      </c>
      <c r="AL194">
        <v>715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95</v>
      </c>
      <c r="AU194">
        <v>65</v>
      </c>
      <c r="AV194">
        <v>1</v>
      </c>
      <c r="AW194">
        <v>1</v>
      </c>
      <c r="AZ194">
        <v>6.71</v>
      </c>
      <c r="BA194">
        <v>1</v>
      </c>
      <c r="BB194">
        <v>1</v>
      </c>
      <c r="BC194">
        <v>6.71</v>
      </c>
      <c r="BD194" t="s">
        <v>6</v>
      </c>
      <c r="BE194" t="s">
        <v>6</v>
      </c>
      <c r="BF194" t="s">
        <v>6</v>
      </c>
      <c r="BG194" t="s">
        <v>6</v>
      </c>
      <c r="BH194">
        <v>3</v>
      </c>
      <c r="BI194">
        <v>2</v>
      </c>
      <c r="BJ194" t="s">
        <v>479</v>
      </c>
      <c r="BM194">
        <v>108001</v>
      </c>
      <c r="BN194">
        <v>0</v>
      </c>
      <c r="BO194" t="s">
        <v>6</v>
      </c>
      <c r="BP194">
        <v>0</v>
      </c>
      <c r="BQ194">
        <v>3</v>
      </c>
      <c r="BR194">
        <v>0</v>
      </c>
      <c r="BS194">
        <v>1</v>
      </c>
      <c r="BT194">
        <v>1</v>
      </c>
      <c r="BU194">
        <v>1</v>
      </c>
      <c r="BV194">
        <v>1</v>
      </c>
      <c r="BW194">
        <v>1</v>
      </c>
      <c r="BX194">
        <v>1</v>
      </c>
      <c r="BY194" t="s">
        <v>6</v>
      </c>
      <c r="BZ194">
        <v>95</v>
      </c>
      <c r="CA194">
        <v>65</v>
      </c>
      <c r="CE194">
        <v>0</v>
      </c>
      <c r="CF194">
        <v>0</v>
      </c>
      <c r="CG194">
        <v>0</v>
      </c>
      <c r="CM194">
        <v>0</v>
      </c>
      <c r="CN194" t="s">
        <v>6</v>
      </c>
      <c r="CO194">
        <v>0</v>
      </c>
      <c r="CP194">
        <f t="shared" si="227"/>
        <v>7148.5</v>
      </c>
      <c r="CQ194">
        <f t="shared" si="228"/>
        <v>4797.6499999999996</v>
      </c>
      <c r="CR194">
        <f t="shared" si="229"/>
        <v>0</v>
      </c>
      <c r="CS194">
        <f t="shared" si="230"/>
        <v>0</v>
      </c>
      <c r="CT194">
        <f t="shared" si="231"/>
        <v>0</v>
      </c>
      <c r="CU194">
        <f t="shared" si="232"/>
        <v>0</v>
      </c>
      <c r="CV194">
        <f t="shared" si="233"/>
        <v>0</v>
      </c>
      <c r="CW194">
        <f t="shared" si="234"/>
        <v>0</v>
      </c>
      <c r="CX194">
        <f t="shared" si="235"/>
        <v>0</v>
      </c>
      <c r="CY194">
        <f t="shared" si="236"/>
        <v>0</v>
      </c>
      <c r="CZ194">
        <f t="shared" si="237"/>
        <v>0</v>
      </c>
      <c r="DC194" t="s">
        <v>6</v>
      </c>
      <c r="DD194" t="s">
        <v>6</v>
      </c>
      <c r="DE194" t="s">
        <v>6</v>
      </c>
      <c r="DF194" t="s">
        <v>6</v>
      </c>
      <c r="DG194" t="s">
        <v>6</v>
      </c>
      <c r="DH194" t="s">
        <v>6</v>
      </c>
      <c r="DI194" t="s">
        <v>6</v>
      </c>
      <c r="DJ194" t="s">
        <v>6</v>
      </c>
      <c r="DK194" t="s">
        <v>6</v>
      </c>
      <c r="DL194" t="s">
        <v>6</v>
      </c>
      <c r="DM194" t="s">
        <v>6</v>
      </c>
      <c r="DN194">
        <v>0</v>
      </c>
      <c r="DO194">
        <v>0</v>
      </c>
      <c r="DP194">
        <v>1</v>
      </c>
      <c r="DQ194">
        <v>1</v>
      </c>
      <c r="DU194">
        <v>1003</v>
      </c>
      <c r="DV194" t="s">
        <v>40</v>
      </c>
      <c r="DW194" t="s">
        <v>40</v>
      </c>
      <c r="DX194">
        <v>100</v>
      </c>
      <c r="EE194">
        <v>16510370</v>
      </c>
      <c r="EF194">
        <v>3</v>
      </c>
      <c r="EG194" t="s">
        <v>50</v>
      </c>
      <c r="EH194">
        <v>0</v>
      </c>
      <c r="EI194" t="s">
        <v>6</v>
      </c>
      <c r="EJ194">
        <v>2</v>
      </c>
      <c r="EK194">
        <v>108001</v>
      </c>
      <c r="EL194" t="s">
        <v>51</v>
      </c>
      <c r="EM194" t="s">
        <v>52</v>
      </c>
      <c r="EO194" t="s">
        <v>6</v>
      </c>
      <c r="EQ194">
        <v>0</v>
      </c>
      <c r="ER194">
        <v>715</v>
      </c>
      <c r="ES194">
        <v>715</v>
      </c>
      <c r="ET194">
        <v>0</v>
      </c>
      <c r="EU194">
        <v>0</v>
      </c>
      <c r="EV194">
        <v>0</v>
      </c>
      <c r="EW194">
        <v>0</v>
      </c>
      <c r="EX194">
        <v>0</v>
      </c>
      <c r="FQ194">
        <v>0</v>
      </c>
      <c r="FR194">
        <f t="shared" si="238"/>
        <v>0</v>
      </c>
      <c r="FS194">
        <v>0</v>
      </c>
      <c r="FX194">
        <v>95</v>
      </c>
      <c r="FY194">
        <v>65</v>
      </c>
      <c r="GA194" t="s">
        <v>6</v>
      </c>
      <c r="GD194">
        <v>0</v>
      </c>
      <c r="GF194">
        <v>1355338960</v>
      </c>
      <c r="GG194">
        <v>1</v>
      </c>
      <c r="GH194">
        <v>1</v>
      </c>
      <c r="GI194">
        <v>4</v>
      </c>
      <c r="GJ194">
        <v>0</v>
      </c>
      <c r="GK194">
        <f>ROUND(R194*(R12)/100,2)</f>
        <v>0</v>
      </c>
      <c r="GL194">
        <f t="shared" si="239"/>
        <v>0</v>
      </c>
      <c r="GM194">
        <f t="shared" si="240"/>
        <v>7148.5</v>
      </c>
      <c r="GN194">
        <f t="shared" si="241"/>
        <v>0</v>
      </c>
      <c r="GO194">
        <f t="shared" si="242"/>
        <v>7148.5</v>
      </c>
      <c r="GP194">
        <f t="shared" si="243"/>
        <v>0</v>
      </c>
      <c r="GR194">
        <v>0</v>
      </c>
      <c r="GS194">
        <v>3</v>
      </c>
      <c r="GT194">
        <v>0</v>
      </c>
      <c r="GU194" t="s">
        <v>6</v>
      </c>
      <c r="GV194">
        <f t="shared" si="244"/>
        <v>0</v>
      </c>
      <c r="GW194">
        <v>1</v>
      </c>
      <c r="GX194">
        <f t="shared" si="245"/>
        <v>0</v>
      </c>
      <c r="HA194">
        <v>0</v>
      </c>
      <c r="HB194">
        <v>0</v>
      </c>
      <c r="HC194">
        <f t="shared" si="246"/>
        <v>0</v>
      </c>
      <c r="IK194">
        <v>0</v>
      </c>
    </row>
    <row r="195" spans="1:245" x14ac:dyDescent="0.2">
      <c r="A195">
        <v>17</v>
      </c>
      <c r="B195">
        <v>1</v>
      </c>
      <c r="C195">
        <f>ROW(SmtRes!A283)</f>
        <v>283</v>
      </c>
      <c r="D195">
        <f>ROW(EtalonRes!A261)</f>
        <v>261</v>
      </c>
      <c r="E195" t="s">
        <v>480</v>
      </c>
      <c r="F195" t="s">
        <v>481</v>
      </c>
      <c r="G195" t="s">
        <v>482</v>
      </c>
      <c r="H195" t="s">
        <v>40</v>
      </c>
      <c r="I195">
        <f>ROUND(278/100,9)</f>
        <v>2.78</v>
      </c>
      <c r="J195">
        <v>0</v>
      </c>
      <c r="O195">
        <f t="shared" si="210"/>
        <v>1084.53</v>
      </c>
      <c r="P195">
        <f t="shared" si="211"/>
        <v>253.69</v>
      </c>
      <c r="Q195">
        <f t="shared" si="212"/>
        <v>39.729999999999997</v>
      </c>
      <c r="R195">
        <f t="shared" si="213"/>
        <v>5.78</v>
      </c>
      <c r="S195">
        <f t="shared" si="214"/>
        <v>791.11</v>
      </c>
      <c r="T195">
        <f t="shared" si="215"/>
        <v>0</v>
      </c>
      <c r="U195">
        <f t="shared" si="216"/>
        <v>12.543359999999998</v>
      </c>
      <c r="V195">
        <f t="shared" si="217"/>
        <v>6.6720000000000002E-2</v>
      </c>
      <c r="W195">
        <f t="shared" si="218"/>
        <v>0</v>
      </c>
      <c r="X195">
        <f t="shared" si="219"/>
        <v>757.05</v>
      </c>
      <c r="Y195">
        <f t="shared" si="220"/>
        <v>517.98</v>
      </c>
      <c r="AA195">
        <v>16808636</v>
      </c>
      <c r="AB195">
        <f t="shared" si="221"/>
        <v>58.14</v>
      </c>
      <c r="AC195">
        <f t="shared" si="222"/>
        <v>13.6</v>
      </c>
      <c r="AD195">
        <f>ROUND(((((ET195*1.2))-((EU195*1.2)))+AE195),2)</f>
        <v>2.13</v>
      </c>
      <c r="AE195">
        <f>ROUND(((EU195*1.2)),2)</f>
        <v>0.31</v>
      </c>
      <c r="AF195">
        <f>ROUND(((EV195*1.2)),2)</f>
        <v>42.41</v>
      </c>
      <c r="AG195">
        <f t="shared" si="224"/>
        <v>0</v>
      </c>
      <c r="AH195">
        <f>((EW195*1.2))</f>
        <v>4.5119999999999996</v>
      </c>
      <c r="AI195">
        <f>((EX195*1.2))</f>
        <v>2.4E-2</v>
      </c>
      <c r="AJ195">
        <f t="shared" si="226"/>
        <v>0</v>
      </c>
      <c r="AK195">
        <v>50.72</v>
      </c>
      <c r="AL195">
        <v>13.6</v>
      </c>
      <c r="AM195">
        <v>1.78</v>
      </c>
      <c r="AN195">
        <v>0.26</v>
      </c>
      <c r="AO195">
        <v>35.340000000000003</v>
      </c>
      <c r="AP195">
        <v>0</v>
      </c>
      <c r="AQ195">
        <v>3.76</v>
      </c>
      <c r="AR195">
        <v>0.02</v>
      </c>
      <c r="AS195">
        <v>0</v>
      </c>
      <c r="AT195">
        <v>95</v>
      </c>
      <c r="AU195">
        <v>65</v>
      </c>
      <c r="AV195">
        <v>1</v>
      </c>
      <c r="AW195">
        <v>1</v>
      </c>
      <c r="AZ195">
        <v>6.71</v>
      </c>
      <c r="BA195">
        <v>6.71</v>
      </c>
      <c r="BB195">
        <v>6.71</v>
      </c>
      <c r="BC195">
        <v>6.71</v>
      </c>
      <c r="BD195" t="s">
        <v>6</v>
      </c>
      <c r="BE195" t="s">
        <v>6</v>
      </c>
      <c r="BF195" t="s">
        <v>6</v>
      </c>
      <c r="BG195" t="s">
        <v>6</v>
      </c>
      <c r="BH195">
        <v>0</v>
      </c>
      <c r="BI195">
        <v>2</v>
      </c>
      <c r="BJ195" t="s">
        <v>483</v>
      </c>
      <c r="BM195">
        <v>108001</v>
      </c>
      <c r="BN195">
        <v>0</v>
      </c>
      <c r="BO195" t="s">
        <v>6</v>
      </c>
      <c r="BP195">
        <v>0</v>
      </c>
      <c r="BQ195">
        <v>3</v>
      </c>
      <c r="BR195">
        <v>0</v>
      </c>
      <c r="BS195">
        <v>6.71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6</v>
      </c>
      <c r="BZ195">
        <v>95</v>
      </c>
      <c r="CA195">
        <v>65</v>
      </c>
      <c r="CE195">
        <v>0</v>
      </c>
      <c r="CF195">
        <v>0</v>
      </c>
      <c r="CG195">
        <v>0</v>
      </c>
      <c r="CM195">
        <v>0</v>
      </c>
      <c r="CN195" t="s">
        <v>442</v>
      </c>
      <c r="CO195">
        <v>0</v>
      </c>
      <c r="CP195">
        <f t="shared" si="227"/>
        <v>1084.53</v>
      </c>
      <c r="CQ195">
        <f t="shared" si="228"/>
        <v>91.256</v>
      </c>
      <c r="CR195">
        <f t="shared" si="229"/>
        <v>14.292299999999999</v>
      </c>
      <c r="CS195">
        <f t="shared" si="230"/>
        <v>2.0800999999999998</v>
      </c>
      <c r="CT195">
        <f t="shared" si="231"/>
        <v>284.5711</v>
      </c>
      <c r="CU195">
        <f t="shared" si="232"/>
        <v>0</v>
      </c>
      <c r="CV195">
        <f t="shared" si="233"/>
        <v>4.5119999999999996</v>
      </c>
      <c r="CW195">
        <f t="shared" si="234"/>
        <v>2.4E-2</v>
      </c>
      <c r="CX195">
        <f t="shared" si="235"/>
        <v>0</v>
      </c>
      <c r="CY195">
        <f t="shared" si="236"/>
        <v>757.04550000000006</v>
      </c>
      <c r="CZ195">
        <f t="shared" si="237"/>
        <v>517.97849999999994</v>
      </c>
      <c r="DC195" t="s">
        <v>6</v>
      </c>
      <c r="DD195" t="s">
        <v>6</v>
      </c>
      <c r="DE195" t="s">
        <v>443</v>
      </c>
      <c r="DF195" t="s">
        <v>443</v>
      </c>
      <c r="DG195" t="s">
        <v>443</v>
      </c>
      <c r="DH195" t="s">
        <v>6</v>
      </c>
      <c r="DI195" t="s">
        <v>443</v>
      </c>
      <c r="DJ195" t="s">
        <v>443</v>
      </c>
      <c r="DK195" t="s">
        <v>6</v>
      </c>
      <c r="DL195" t="s">
        <v>6</v>
      </c>
      <c r="DM195" t="s">
        <v>6</v>
      </c>
      <c r="DN195">
        <v>0</v>
      </c>
      <c r="DO195">
        <v>0</v>
      </c>
      <c r="DP195">
        <v>1</v>
      </c>
      <c r="DQ195">
        <v>1</v>
      </c>
      <c r="DU195">
        <v>1003</v>
      </c>
      <c r="DV195" t="s">
        <v>40</v>
      </c>
      <c r="DW195" t="s">
        <v>40</v>
      </c>
      <c r="DX195">
        <v>100</v>
      </c>
      <c r="EE195">
        <v>16510370</v>
      </c>
      <c r="EF195">
        <v>3</v>
      </c>
      <c r="EG195" t="s">
        <v>50</v>
      </c>
      <c r="EH195">
        <v>0</v>
      </c>
      <c r="EI195" t="s">
        <v>6</v>
      </c>
      <c r="EJ195">
        <v>2</v>
      </c>
      <c r="EK195">
        <v>108001</v>
      </c>
      <c r="EL195" t="s">
        <v>51</v>
      </c>
      <c r="EM195" t="s">
        <v>52</v>
      </c>
      <c r="EO195" t="s">
        <v>444</v>
      </c>
      <c r="EQ195">
        <v>131072</v>
      </c>
      <c r="ER195">
        <v>50.72</v>
      </c>
      <c r="ES195">
        <v>13.6</v>
      </c>
      <c r="ET195">
        <v>1.78</v>
      </c>
      <c r="EU195">
        <v>0.26</v>
      </c>
      <c r="EV195">
        <v>35.340000000000003</v>
      </c>
      <c r="EW195">
        <v>3.76</v>
      </c>
      <c r="EX195">
        <v>0.02</v>
      </c>
      <c r="EY195">
        <v>0</v>
      </c>
      <c r="FQ195">
        <v>0</v>
      </c>
      <c r="FR195">
        <f t="shared" si="238"/>
        <v>0</v>
      </c>
      <c r="FS195">
        <v>0</v>
      </c>
      <c r="FX195">
        <v>95</v>
      </c>
      <c r="FY195">
        <v>65</v>
      </c>
      <c r="GA195" t="s">
        <v>6</v>
      </c>
      <c r="GD195">
        <v>0</v>
      </c>
      <c r="GF195">
        <v>-349670202</v>
      </c>
      <c r="GG195">
        <v>1</v>
      </c>
      <c r="GH195">
        <v>1</v>
      </c>
      <c r="GI195">
        <v>4</v>
      </c>
      <c r="GJ195">
        <v>0</v>
      </c>
      <c r="GK195">
        <f>ROUND(R195*(R12)/100,2)</f>
        <v>0</v>
      </c>
      <c r="GL195">
        <f t="shared" si="239"/>
        <v>0</v>
      </c>
      <c r="GM195">
        <f t="shared" si="240"/>
        <v>2359.56</v>
      </c>
      <c r="GN195">
        <f t="shared" si="241"/>
        <v>0</v>
      </c>
      <c r="GO195">
        <f t="shared" si="242"/>
        <v>2359.56</v>
      </c>
      <c r="GP195">
        <f t="shared" si="243"/>
        <v>0</v>
      </c>
      <c r="GR195">
        <v>0</v>
      </c>
      <c r="GS195">
        <v>3</v>
      </c>
      <c r="GT195">
        <v>0</v>
      </c>
      <c r="GU195" t="s">
        <v>6</v>
      </c>
      <c r="GV195">
        <f t="shared" si="244"/>
        <v>0</v>
      </c>
      <c r="GW195">
        <v>1</v>
      </c>
      <c r="GX195">
        <f t="shared" si="245"/>
        <v>0</v>
      </c>
      <c r="HA195">
        <v>0</v>
      </c>
      <c r="HB195">
        <v>0</v>
      </c>
      <c r="HC195">
        <f t="shared" si="246"/>
        <v>0</v>
      </c>
      <c r="IK195">
        <v>0</v>
      </c>
    </row>
    <row r="196" spans="1:245" x14ac:dyDescent="0.2">
      <c r="A196">
        <v>18</v>
      </c>
      <c r="B196">
        <v>1</v>
      </c>
      <c r="C196">
        <v>282</v>
      </c>
      <c r="E196" t="s">
        <v>484</v>
      </c>
      <c r="F196" t="s">
        <v>461</v>
      </c>
      <c r="G196" t="s">
        <v>462</v>
      </c>
      <c r="H196" t="s">
        <v>463</v>
      </c>
      <c r="I196">
        <f>I195*J196</f>
        <v>0.27800000000000002</v>
      </c>
      <c r="J196">
        <v>0.10000000000000002</v>
      </c>
      <c r="O196">
        <f t="shared" si="210"/>
        <v>12909.19</v>
      </c>
      <c r="P196">
        <f t="shared" si="211"/>
        <v>12909.19</v>
      </c>
      <c r="Q196">
        <f t="shared" si="212"/>
        <v>0</v>
      </c>
      <c r="R196">
        <f t="shared" si="213"/>
        <v>0</v>
      </c>
      <c r="S196">
        <f t="shared" si="214"/>
        <v>0</v>
      </c>
      <c r="T196">
        <f t="shared" si="215"/>
        <v>0</v>
      </c>
      <c r="U196">
        <f t="shared" si="216"/>
        <v>0</v>
      </c>
      <c r="V196">
        <f t="shared" si="217"/>
        <v>0</v>
      </c>
      <c r="W196">
        <f t="shared" si="218"/>
        <v>0</v>
      </c>
      <c r="X196">
        <f t="shared" si="219"/>
        <v>0</v>
      </c>
      <c r="Y196">
        <f t="shared" si="220"/>
        <v>0</v>
      </c>
      <c r="AA196">
        <v>16808636</v>
      </c>
      <c r="AB196">
        <f t="shared" si="221"/>
        <v>6920.41</v>
      </c>
      <c r="AC196">
        <f t="shared" si="222"/>
        <v>6920.41</v>
      </c>
      <c r="AD196">
        <f>ROUND((((ET196)-(EU196))+AE196),2)</f>
        <v>0</v>
      </c>
      <c r="AE196">
        <f>ROUND((EU196),2)</f>
        <v>0</v>
      </c>
      <c r="AF196">
        <f>ROUND((EV196),2)</f>
        <v>0</v>
      </c>
      <c r="AG196">
        <f t="shared" si="224"/>
        <v>0</v>
      </c>
      <c r="AH196">
        <f>(EW196)</f>
        <v>0</v>
      </c>
      <c r="AI196">
        <f>(EX196)</f>
        <v>0</v>
      </c>
      <c r="AJ196">
        <f t="shared" si="226"/>
        <v>0</v>
      </c>
      <c r="AK196">
        <v>6920.41</v>
      </c>
      <c r="AL196">
        <v>6920.41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95</v>
      </c>
      <c r="AU196">
        <v>65</v>
      </c>
      <c r="AV196">
        <v>1</v>
      </c>
      <c r="AW196">
        <v>1</v>
      </c>
      <c r="AZ196">
        <v>6.71</v>
      </c>
      <c r="BA196">
        <v>1</v>
      </c>
      <c r="BB196">
        <v>1</v>
      </c>
      <c r="BC196">
        <v>6.71</v>
      </c>
      <c r="BD196" t="s">
        <v>6</v>
      </c>
      <c r="BE196" t="s">
        <v>6</v>
      </c>
      <c r="BF196" t="s">
        <v>6</v>
      </c>
      <c r="BG196" t="s">
        <v>6</v>
      </c>
      <c r="BH196">
        <v>3</v>
      </c>
      <c r="BI196">
        <v>2</v>
      </c>
      <c r="BJ196" t="s">
        <v>464</v>
      </c>
      <c r="BM196">
        <v>108001</v>
      </c>
      <c r="BN196">
        <v>0</v>
      </c>
      <c r="BO196" t="s">
        <v>6</v>
      </c>
      <c r="BP196">
        <v>0</v>
      </c>
      <c r="BQ196">
        <v>3</v>
      </c>
      <c r="BR196">
        <v>0</v>
      </c>
      <c r="BS196">
        <v>1</v>
      </c>
      <c r="BT196">
        <v>1</v>
      </c>
      <c r="BU196">
        <v>1</v>
      </c>
      <c r="BV196">
        <v>1</v>
      </c>
      <c r="BW196">
        <v>1</v>
      </c>
      <c r="BX196">
        <v>1</v>
      </c>
      <c r="BY196" t="s">
        <v>6</v>
      </c>
      <c r="BZ196">
        <v>95</v>
      </c>
      <c r="CA196">
        <v>65</v>
      </c>
      <c r="CE196">
        <v>0</v>
      </c>
      <c r="CF196">
        <v>0</v>
      </c>
      <c r="CG196">
        <v>0</v>
      </c>
      <c r="CM196">
        <v>0</v>
      </c>
      <c r="CN196" t="s">
        <v>6</v>
      </c>
      <c r="CO196">
        <v>0</v>
      </c>
      <c r="CP196">
        <f t="shared" si="227"/>
        <v>12909.19</v>
      </c>
      <c r="CQ196">
        <f t="shared" si="228"/>
        <v>46435.951099999998</v>
      </c>
      <c r="CR196">
        <f t="shared" si="229"/>
        <v>0</v>
      </c>
      <c r="CS196">
        <f t="shared" si="230"/>
        <v>0</v>
      </c>
      <c r="CT196">
        <f t="shared" si="231"/>
        <v>0</v>
      </c>
      <c r="CU196">
        <f t="shared" si="232"/>
        <v>0</v>
      </c>
      <c r="CV196">
        <f t="shared" si="233"/>
        <v>0</v>
      </c>
      <c r="CW196">
        <f t="shared" si="234"/>
        <v>0</v>
      </c>
      <c r="CX196">
        <f t="shared" si="235"/>
        <v>0</v>
      </c>
      <c r="CY196">
        <f t="shared" si="236"/>
        <v>0</v>
      </c>
      <c r="CZ196">
        <f t="shared" si="237"/>
        <v>0</v>
      </c>
      <c r="DC196" t="s">
        <v>6</v>
      </c>
      <c r="DD196" t="s">
        <v>6</v>
      </c>
      <c r="DE196" t="s">
        <v>6</v>
      </c>
      <c r="DF196" t="s">
        <v>6</v>
      </c>
      <c r="DG196" t="s">
        <v>6</v>
      </c>
      <c r="DH196" t="s">
        <v>6</v>
      </c>
      <c r="DI196" t="s">
        <v>6</v>
      </c>
      <c r="DJ196" t="s">
        <v>6</v>
      </c>
      <c r="DK196" t="s">
        <v>6</v>
      </c>
      <c r="DL196" t="s">
        <v>6</v>
      </c>
      <c r="DM196" t="s">
        <v>6</v>
      </c>
      <c r="DN196">
        <v>0</v>
      </c>
      <c r="DO196">
        <v>0</v>
      </c>
      <c r="DP196">
        <v>1</v>
      </c>
      <c r="DQ196">
        <v>1</v>
      </c>
      <c r="DU196">
        <v>1013</v>
      </c>
      <c r="DV196" t="s">
        <v>463</v>
      </c>
      <c r="DW196" t="s">
        <v>465</v>
      </c>
      <c r="DX196">
        <v>1</v>
      </c>
      <c r="EE196">
        <v>16510370</v>
      </c>
      <c r="EF196">
        <v>3</v>
      </c>
      <c r="EG196" t="s">
        <v>50</v>
      </c>
      <c r="EH196">
        <v>0</v>
      </c>
      <c r="EI196" t="s">
        <v>6</v>
      </c>
      <c r="EJ196">
        <v>2</v>
      </c>
      <c r="EK196">
        <v>108001</v>
      </c>
      <c r="EL196" t="s">
        <v>51</v>
      </c>
      <c r="EM196" t="s">
        <v>52</v>
      </c>
      <c r="EO196" t="s">
        <v>6</v>
      </c>
      <c r="EQ196">
        <v>0</v>
      </c>
      <c r="ER196">
        <v>6920.41</v>
      </c>
      <c r="ES196">
        <v>6920.41</v>
      </c>
      <c r="ET196">
        <v>0</v>
      </c>
      <c r="EU196">
        <v>0</v>
      </c>
      <c r="EV196">
        <v>0</v>
      </c>
      <c r="EW196">
        <v>0</v>
      </c>
      <c r="EX196">
        <v>0</v>
      </c>
      <c r="FQ196">
        <v>0</v>
      </c>
      <c r="FR196">
        <f t="shared" si="238"/>
        <v>0</v>
      </c>
      <c r="FS196">
        <v>0</v>
      </c>
      <c r="FX196">
        <v>95</v>
      </c>
      <c r="FY196">
        <v>65</v>
      </c>
      <c r="GA196" t="s">
        <v>6</v>
      </c>
      <c r="GD196">
        <v>0</v>
      </c>
      <c r="GF196">
        <v>559331636</v>
      </c>
      <c r="GG196">
        <v>1</v>
      </c>
      <c r="GH196">
        <v>1</v>
      </c>
      <c r="GI196">
        <v>4</v>
      </c>
      <c r="GJ196">
        <v>0</v>
      </c>
      <c r="GK196">
        <f>ROUND(R196*(R12)/100,2)</f>
        <v>0</v>
      </c>
      <c r="GL196">
        <f t="shared" si="239"/>
        <v>0</v>
      </c>
      <c r="GM196">
        <f t="shared" si="240"/>
        <v>12909.19</v>
      </c>
      <c r="GN196">
        <f t="shared" si="241"/>
        <v>0</v>
      </c>
      <c r="GO196">
        <f t="shared" si="242"/>
        <v>12909.19</v>
      </c>
      <c r="GP196">
        <f t="shared" si="243"/>
        <v>0</v>
      </c>
      <c r="GR196">
        <v>0</v>
      </c>
      <c r="GS196">
        <v>3</v>
      </c>
      <c r="GT196">
        <v>0</v>
      </c>
      <c r="GU196" t="s">
        <v>6</v>
      </c>
      <c r="GV196">
        <f t="shared" si="244"/>
        <v>0</v>
      </c>
      <c r="GW196">
        <v>1</v>
      </c>
      <c r="GX196">
        <f t="shared" si="245"/>
        <v>0</v>
      </c>
      <c r="HA196">
        <v>0</v>
      </c>
      <c r="HB196">
        <v>0</v>
      </c>
      <c r="HC196">
        <f t="shared" si="246"/>
        <v>0</v>
      </c>
      <c r="IK196">
        <v>0</v>
      </c>
    </row>
    <row r="197" spans="1:245" x14ac:dyDescent="0.2">
      <c r="A197">
        <v>17</v>
      </c>
      <c r="B197">
        <v>1</v>
      </c>
      <c r="C197">
        <f>ROW(SmtRes!A292)</f>
        <v>292</v>
      </c>
      <c r="D197">
        <f>ROW(EtalonRes!A269)</f>
        <v>269</v>
      </c>
      <c r="E197" t="s">
        <v>485</v>
      </c>
      <c r="F197" t="s">
        <v>486</v>
      </c>
      <c r="G197" t="s">
        <v>487</v>
      </c>
      <c r="H197" t="s">
        <v>40</v>
      </c>
      <c r="I197">
        <f>ROUND(149/100,9)</f>
        <v>1.49</v>
      </c>
      <c r="J197">
        <v>0</v>
      </c>
      <c r="O197">
        <f t="shared" si="210"/>
        <v>467.5</v>
      </c>
      <c r="P197">
        <f t="shared" si="211"/>
        <v>128.16999999999999</v>
      </c>
      <c r="Q197">
        <f t="shared" si="212"/>
        <v>21.3</v>
      </c>
      <c r="R197">
        <f t="shared" si="213"/>
        <v>3.1</v>
      </c>
      <c r="S197">
        <f t="shared" si="214"/>
        <v>318.02999999999997</v>
      </c>
      <c r="T197">
        <f t="shared" si="215"/>
        <v>0</v>
      </c>
      <c r="U197">
        <f t="shared" si="216"/>
        <v>5.04216</v>
      </c>
      <c r="V197">
        <f t="shared" si="217"/>
        <v>3.576E-2</v>
      </c>
      <c r="W197">
        <f t="shared" si="218"/>
        <v>0</v>
      </c>
      <c r="X197">
        <f t="shared" si="219"/>
        <v>305.07</v>
      </c>
      <c r="Y197">
        <f t="shared" si="220"/>
        <v>208.73</v>
      </c>
      <c r="AA197">
        <v>16808636</v>
      </c>
      <c r="AB197">
        <f t="shared" si="221"/>
        <v>46.76</v>
      </c>
      <c r="AC197">
        <f t="shared" si="222"/>
        <v>12.82</v>
      </c>
      <c r="AD197">
        <f>ROUND(((((ET197*1.2))-((EU197*1.2)))+AE197),2)</f>
        <v>2.13</v>
      </c>
      <c r="AE197">
        <f>ROUND(((EU197*1.2)),2)</f>
        <v>0.31</v>
      </c>
      <c r="AF197">
        <f>ROUND(((EV197*1.2)),2)</f>
        <v>31.81</v>
      </c>
      <c r="AG197">
        <f t="shared" si="224"/>
        <v>0</v>
      </c>
      <c r="AH197">
        <f>((EW197*1.2))</f>
        <v>3.3839999999999999</v>
      </c>
      <c r="AI197">
        <f>((EX197*1.2))</f>
        <v>2.4E-2</v>
      </c>
      <c r="AJ197">
        <f t="shared" si="226"/>
        <v>0</v>
      </c>
      <c r="AK197">
        <v>41.11</v>
      </c>
      <c r="AL197">
        <v>12.82</v>
      </c>
      <c r="AM197">
        <v>1.78</v>
      </c>
      <c r="AN197">
        <v>0.26</v>
      </c>
      <c r="AO197">
        <v>26.51</v>
      </c>
      <c r="AP197">
        <v>0</v>
      </c>
      <c r="AQ197">
        <v>2.82</v>
      </c>
      <c r="AR197">
        <v>0.02</v>
      </c>
      <c r="AS197">
        <v>0</v>
      </c>
      <c r="AT197">
        <v>95</v>
      </c>
      <c r="AU197">
        <v>65</v>
      </c>
      <c r="AV197">
        <v>1</v>
      </c>
      <c r="AW197">
        <v>1</v>
      </c>
      <c r="AZ197">
        <v>6.71</v>
      </c>
      <c r="BA197">
        <v>6.71</v>
      </c>
      <c r="BB197">
        <v>6.71</v>
      </c>
      <c r="BC197">
        <v>6.71</v>
      </c>
      <c r="BD197" t="s">
        <v>6</v>
      </c>
      <c r="BE197" t="s">
        <v>6</v>
      </c>
      <c r="BF197" t="s">
        <v>6</v>
      </c>
      <c r="BG197" t="s">
        <v>6</v>
      </c>
      <c r="BH197">
        <v>0</v>
      </c>
      <c r="BI197">
        <v>2</v>
      </c>
      <c r="BJ197" t="s">
        <v>488</v>
      </c>
      <c r="BM197">
        <v>108001</v>
      </c>
      <c r="BN197">
        <v>0</v>
      </c>
      <c r="BO197" t="s">
        <v>6</v>
      </c>
      <c r="BP197">
        <v>0</v>
      </c>
      <c r="BQ197">
        <v>3</v>
      </c>
      <c r="BR197">
        <v>0</v>
      </c>
      <c r="BS197">
        <v>6.71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6</v>
      </c>
      <c r="BZ197">
        <v>95</v>
      </c>
      <c r="CA197">
        <v>65</v>
      </c>
      <c r="CE197">
        <v>0</v>
      </c>
      <c r="CF197">
        <v>0</v>
      </c>
      <c r="CG197">
        <v>0</v>
      </c>
      <c r="CM197">
        <v>0</v>
      </c>
      <c r="CN197" t="s">
        <v>442</v>
      </c>
      <c r="CO197">
        <v>0</v>
      </c>
      <c r="CP197">
        <f t="shared" si="227"/>
        <v>467.5</v>
      </c>
      <c r="CQ197">
        <f t="shared" si="228"/>
        <v>86.022199999999998</v>
      </c>
      <c r="CR197">
        <f t="shared" si="229"/>
        <v>14.292299999999999</v>
      </c>
      <c r="CS197">
        <f t="shared" si="230"/>
        <v>2.0800999999999998</v>
      </c>
      <c r="CT197">
        <f t="shared" si="231"/>
        <v>213.4451</v>
      </c>
      <c r="CU197">
        <f t="shared" si="232"/>
        <v>0</v>
      </c>
      <c r="CV197">
        <f t="shared" si="233"/>
        <v>3.3839999999999999</v>
      </c>
      <c r="CW197">
        <f t="shared" si="234"/>
        <v>2.4E-2</v>
      </c>
      <c r="CX197">
        <f t="shared" si="235"/>
        <v>0</v>
      </c>
      <c r="CY197">
        <f t="shared" si="236"/>
        <v>305.07349999999997</v>
      </c>
      <c r="CZ197">
        <f t="shared" si="237"/>
        <v>208.7345</v>
      </c>
      <c r="DC197" t="s">
        <v>6</v>
      </c>
      <c r="DD197" t="s">
        <v>6</v>
      </c>
      <c r="DE197" t="s">
        <v>443</v>
      </c>
      <c r="DF197" t="s">
        <v>443</v>
      </c>
      <c r="DG197" t="s">
        <v>443</v>
      </c>
      <c r="DH197" t="s">
        <v>6</v>
      </c>
      <c r="DI197" t="s">
        <v>443</v>
      </c>
      <c r="DJ197" t="s">
        <v>443</v>
      </c>
      <c r="DK197" t="s">
        <v>6</v>
      </c>
      <c r="DL197" t="s">
        <v>6</v>
      </c>
      <c r="DM197" t="s">
        <v>6</v>
      </c>
      <c r="DN197">
        <v>0</v>
      </c>
      <c r="DO197">
        <v>0</v>
      </c>
      <c r="DP197">
        <v>1</v>
      </c>
      <c r="DQ197">
        <v>1</v>
      </c>
      <c r="DU197">
        <v>1003</v>
      </c>
      <c r="DV197" t="s">
        <v>40</v>
      </c>
      <c r="DW197" t="s">
        <v>40</v>
      </c>
      <c r="DX197">
        <v>100</v>
      </c>
      <c r="EE197">
        <v>16510370</v>
      </c>
      <c r="EF197">
        <v>3</v>
      </c>
      <c r="EG197" t="s">
        <v>50</v>
      </c>
      <c r="EH197">
        <v>0</v>
      </c>
      <c r="EI197" t="s">
        <v>6</v>
      </c>
      <c r="EJ197">
        <v>2</v>
      </c>
      <c r="EK197">
        <v>108001</v>
      </c>
      <c r="EL197" t="s">
        <v>51</v>
      </c>
      <c r="EM197" t="s">
        <v>52</v>
      </c>
      <c r="EO197" t="s">
        <v>444</v>
      </c>
      <c r="EQ197">
        <v>131072</v>
      </c>
      <c r="ER197">
        <v>41.11</v>
      </c>
      <c r="ES197">
        <v>12.82</v>
      </c>
      <c r="ET197">
        <v>1.78</v>
      </c>
      <c r="EU197">
        <v>0.26</v>
      </c>
      <c r="EV197">
        <v>26.51</v>
      </c>
      <c r="EW197">
        <v>2.82</v>
      </c>
      <c r="EX197">
        <v>0.02</v>
      </c>
      <c r="EY197">
        <v>0</v>
      </c>
      <c r="FQ197">
        <v>0</v>
      </c>
      <c r="FR197">
        <f t="shared" si="238"/>
        <v>0</v>
      </c>
      <c r="FS197">
        <v>0</v>
      </c>
      <c r="FX197">
        <v>95</v>
      </c>
      <c r="FY197">
        <v>65</v>
      </c>
      <c r="GA197" t="s">
        <v>6</v>
      </c>
      <c r="GD197">
        <v>0</v>
      </c>
      <c r="GF197">
        <v>-1159239760</v>
      </c>
      <c r="GG197">
        <v>1</v>
      </c>
      <c r="GH197">
        <v>1</v>
      </c>
      <c r="GI197">
        <v>4</v>
      </c>
      <c r="GJ197">
        <v>0</v>
      </c>
      <c r="GK197">
        <f>ROUND(R197*(R12)/100,2)</f>
        <v>0</v>
      </c>
      <c r="GL197">
        <f t="shared" si="239"/>
        <v>0</v>
      </c>
      <c r="GM197">
        <f t="shared" si="240"/>
        <v>981.3</v>
      </c>
      <c r="GN197">
        <f t="shared" si="241"/>
        <v>0</v>
      </c>
      <c r="GO197">
        <f t="shared" si="242"/>
        <v>981.3</v>
      </c>
      <c r="GP197">
        <f t="shared" si="243"/>
        <v>0</v>
      </c>
      <c r="GR197">
        <v>0</v>
      </c>
      <c r="GS197">
        <v>3</v>
      </c>
      <c r="GT197">
        <v>0</v>
      </c>
      <c r="GU197" t="s">
        <v>6</v>
      </c>
      <c r="GV197">
        <f t="shared" si="244"/>
        <v>0</v>
      </c>
      <c r="GW197">
        <v>1</v>
      </c>
      <c r="GX197">
        <f t="shared" si="245"/>
        <v>0</v>
      </c>
      <c r="HA197">
        <v>0</v>
      </c>
      <c r="HB197">
        <v>0</v>
      </c>
      <c r="HC197">
        <f t="shared" si="246"/>
        <v>0</v>
      </c>
      <c r="IK197">
        <v>0</v>
      </c>
    </row>
    <row r="198" spans="1:245" x14ac:dyDescent="0.2">
      <c r="A198">
        <v>18</v>
      </c>
      <c r="B198">
        <v>1</v>
      </c>
      <c r="C198">
        <v>291</v>
      </c>
      <c r="E198" t="s">
        <v>489</v>
      </c>
      <c r="F198" t="s">
        <v>490</v>
      </c>
      <c r="G198" t="s">
        <v>491</v>
      </c>
      <c r="H198" t="s">
        <v>463</v>
      </c>
      <c r="I198">
        <f>I197*J198</f>
        <v>0.14899999999999999</v>
      </c>
      <c r="J198">
        <v>9.9999999999999992E-2</v>
      </c>
      <c r="O198">
        <f t="shared" si="210"/>
        <v>1149.95</v>
      </c>
      <c r="P198">
        <f t="shared" si="211"/>
        <v>1149.95</v>
      </c>
      <c r="Q198">
        <f t="shared" si="212"/>
        <v>0</v>
      </c>
      <c r="R198">
        <f t="shared" si="213"/>
        <v>0</v>
      </c>
      <c r="S198">
        <f t="shared" si="214"/>
        <v>0</v>
      </c>
      <c r="T198">
        <f t="shared" si="215"/>
        <v>0</v>
      </c>
      <c r="U198">
        <f t="shared" si="216"/>
        <v>0</v>
      </c>
      <c r="V198">
        <f t="shared" si="217"/>
        <v>0</v>
      </c>
      <c r="W198">
        <f t="shared" si="218"/>
        <v>0</v>
      </c>
      <c r="X198">
        <f t="shared" si="219"/>
        <v>0</v>
      </c>
      <c r="Y198">
        <f t="shared" si="220"/>
        <v>0</v>
      </c>
      <c r="AA198">
        <v>16808636</v>
      </c>
      <c r="AB198">
        <f t="shared" si="221"/>
        <v>1150.19</v>
      </c>
      <c r="AC198">
        <f t="shared" si="222"/>
        <v>1150.19</v>
      </c>
      <c r="AD198">
        <f>ROUND((((ET198)-(EU198))+AE198),2)</f>
        <v>0</v>
      </c>
      <c r="AE198">
        <f>ROUND((EU198),2)</f>
        <v>0</v>
      </c>
      <c r="AF198">
        <f>ROUND((EV198),2)</f>
        <v>0</v>
      </c>
      <c r="AG198">
        <f t="shared" si="224"/>
        <v>0</v>
      </c>
      <c r="AH198">
        <f>(EW198)</f>
        <v>0</v>
      </c>
      <c r="AI198">
        <f>(EX198)</f>
        <v>0</v>
      </c>
      <c r="AJ198">
        <f t="shared" si="226"/>
        <v>0</v>
      </c>
      <c r="AK198">
        <v>1150.19</v>
      </c>
      <c r="AL198">
        <v>1150.19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95</v>
      </c>
      <c r="AU198">
        <v>65</v>
      </c>
      <c r="AV198">
        <v>1</v>
      </c>
      <c r="AW198">
        <v>1</v>
      </c>
      <c r="AZ198">
        <v>6.71</v>
      </c>
      <c r="BA198">
        <v>1</v>
      </c>
      <c r="BB198">
        <v>1</v>
      </c>
      <c r="BC198">
        <v>6.71</v>
      </c>
      <c r="BD198" t="s">
        <v>6</v>
      </c>
      <c r="BE198" t="s">
        <v>6</v>
      </c>
      <c r="BF198" t="s">
        <v>6</v>
      </c>
      <c r="BG198" t="s">
        <v>6</v>
      </c>
      <c r="BH198">
        <v>3</v>
      </c>
      <c r="BI198">
        <v>2</v>
      </c>
      <c r="BJ198" t="s">
        <v>492</v>
      </c>
      <c r="BM198">
        <v>108001</v>
      </c>
      <c r="BN198">
        <v>0</v>
      </c>
      <c r="BO198" t="s">
        <v>6</v>
      </c>
      <c r="BP198">
        <v>0</v>
      </c>
      <c r="BQ198">
        <v>3</v>
      </c>
      <c r="BR198">
        <v>0</v>
      </c>
      <c r="BS198">
        <v>1</v>
      </c>
      <c r="BT198">
        <v>1</v>
      </c>
      <c r="BU198">
        <v>1</v>
      </c>
      <c r="BV198">
        <v>1</v>
      </c>
      <c r="BW198">
        <v>1</v>
      </c>
      <c r="BX198">
        <v>1</v>
      </c>
      <c r="BY198" t="s">
        <v>6</v>
      </c>
      <c r="BZ198">
        <v>95</v>
      </c>
      <c r="CA198">
        <v>65</v>
      </c>
      <c r="CE198">
        <v>0</v>
      </c>
      <c r="CF198">
        <v>0</v>
      </c>
      <c r="CG198">
        <v>0</v>
      </c>
      <c r="CM198">
        <v>0</v>
      </c>
      <c r="CN198" t="s">
        <v>6</v>
      </c>
      <c r="CO198">
        <v>0</v>
      </c>
      <c r="CP198">
        <f t="shared" si="227"/>
        <v>1149.95</v>
      </c>
      <c r="CQ198">
        <f t="shared" si="228"/>
        <v>7717.7749000000003</v>
      </c>
      <c r="CR198">
        <f t="shared" si="229"/>
        <v>0</v>
      </c>
      <c r="CS198">
        <f t="shared" si="230"/>
        <v>0</v>
      </c>
      <c r="CT198">
        <f t="shared" si="231"/>
        <v>0</v>
      </c>
      <c r="CU198">
        <f t="shared" si="232"/>
        <v>0</v>
      </c>
      <c r="CV198">
        <f t="shared" si="233"/>
        <v>0</v>
      </c>
      <c r="CW198">
        <f t="shared" si="234"/>
        <v>0</v>
      </c>
      <c r="CX198">
        <f t="shared" si="235"/>
        <v>0</v>
      </c>
      <c r="CY198">
        <f t="shared" si="236"/>
        <v>0</v>
      </c>
      <c r="CZ198">
        <f t="shared" si="237"/>
        <v>0</v>
      </c>
      <c r="DC198" t="s">
        <v>6</v>
      </c>
      <c r="DD198" t="s">
        <v>6</v>
      </c>
      <c r="DE198" t="s">
        <v>6</v>
      </c>
      <c r="DF198" t="s">
        <v>6</v>
      </c>
      <c r="DG198" t="s">
        <v>6</v>
      </c>
      <c r="DH198" t="s">
        <v>6</v>
      </c>
      <c r="DI198" t="s">
        <v>6</v>
      </c>
      <c r="DJ198" t="s">
        <v>6</v>
      </c>
      <c r="DK198" t="s">
        <v>6</v>
      </c>
      <c r="DL198" t="s">
        <v>6</v>
      </c>
      <c r="DM198" t="s">
        <v>6</v>
      </c>
      <c r="DN198">
        <v>0</v>
      </c>
      <c r="DO198">
        <v>0</v>
      </c>
      <c r="DP198">
        <v>1</v>
      </c>
      <c r="DQ198">
        <v>1</v>
      </c>
      <c r="DU198">
        <v>1013</v>
      </c>
      <c r="DV198" t="s">
        <v>463</v>
      </c>
      <c r="DW198" t="s">
        <v>465</v>
      </c>
      <c r="DX198">
        <v>1</v>
      </c>
      <c r="EE198">
        <v>16510370</v>
      </c>
      <c r="EF198">
        <v>3</v>
      </c>
      <c r="EG198" t="s">
        <v>50</v>
      </c>
      <c r="EH198">
        <v>0</v>
      </c>
      <c r="EI198" t="s">
        <v>6</v>
      </c>
      <c r="EJ198">
        <v>2</v>
      </c>
      <c r="EK198">
        <v>108001</v>
      </c>
      <c r="EL198" t="s">
        <v>51</v>
      </c>
      <c r="EM198" t="s">
        <v>52</v>
      </c>
      <c r="EO198" t="s">
        <v>6</v>
      </c>
      <c r="EQ198">
        <v>0</v>
      </c>
      <c r="ER198">
        <v>1150.19</v>
      </c>
      <c r="ES198">
        <v>1150.19</v>
      </c>
      <c r="ET198">
        <v>0</v>
      </c>
      <c r="EU198">
        <v>0</v>
      </c>
      <c r="EV198">
        <v>0</v>
      </c>
      <c r="EW198">
        <v>0</v>
      </c>
      <c r="EX198">
        <v>0</v>
      </c>
      <c r="FQ198">
        <v>0</v>
      </c>
      <c r="FR198">
        <f t="shared" si="238"/>
        <v>0</v>
      </c>
      <c r="FS198">
        <v>0</v>
      </c>
      <c r="FX198">
        <v>95</v>
      </c>
      <c r="FY198">
        <v>65</v>
      </c>
      <c r="GA198" t="s">
        <v>6</v>
      </c>
      <c r="GD198">
        <v>0</v>
      </c>
      <c r="GF198">
        <v>1306444111</v>
      </c>
      <c r="GG198">
        <v>1</v>
      </c>
      <c r="GH198">
        <v>1</v>
      </c>
      <c r="GI198">
        <v>4</v>
      </c>
      <c r="GJ198">
        <v>0</v>
      </c>
      <c r="GK198">
        <f>ROUND(R198*(R12)/100,2)</f>
        <v>0</v>
      </c>
      <c r="GL198">
        <f t="shared" si="239"/>
        <v>0</v>
      </c>
      <c r="GM198">
        <f t="shared" si="240"/>
        <v>1149.95</v>
      </c>
      <c r="GN198">
        <f t="shared" si="241"/>
        <v>0</v>
      </c>
      <c r="GO198">
        <f t="shared" si="242"/>
        <v>1149.95</v>
      </c>
      <c r="GP198">
        <f t="shared" si="243"/>
        <v>0</v>
      </c>
      <c r="GR198">
        <v>0</v>
      </c>
      <c r="GS198">
        <v>3</v>
      </c>
      <c r="GT198">
        <v>0</v>
      </c>
      <c r="GU198" t="s">
        <v>6</v>
      </c>
      <c r="GV198">
        <f t="shared" si="244"/>
        <v>0</v>
      </c>
      <c r="GW198">
        <v>1</v>
      </c>
      <c r="GX198">
        <f t="shared" si="245"/>
        <v>0</v>
      </c>
      <c r="HA198">
        <v>0</v>
      </c>
      <c r="HB198">
        <v>0</v>
      </c>
      <c r="HC198">
        <f t="shared" si="246"/>
        <v>0</v>
      </c>
      <c r="IK198">
        <v>0</v>
      </c>
    </row>
    <row r="199" spans="1:245" x14ac:dyDescent="0.2">
      <c r="A199">
        <v>17</v>
      </c>
      <c r="B199">
        <v>1</v>
      </c>
      <c r="C199">
        <f>ROW(SmtRes!A303)</f>
        <v>303</v>
      </c>
      <c r="D199">
        <f>ROW(EtalonRes!A278)</f>
        <v>278</v>
      </c>
      <c r="E199" t="s">
        <v>493</v>
      </c>
      <c r="F199" t="s">
        <v>494</v>
      </c>
      <c r="G199" t="s">
        <v>495</v>
      </c>
      <c r="H199" t="s">
        <v>28</v>
      </c>
      <c r="I199">
        <f>ROUND(86/100,9)</f>
        <v>0.86</v>
      </c>
      <c r="J199">
        <v>0</v>
      </c>
      <c r="O199">
        <f t="shared" si="210"/>
        <v>3020.56</v>
      </c>
      <c r="P199">
        <f t="shared" si="211"/>
        <v>614.11</v>
      </c>
      <c r="Q199">
        <f t="shared" si="212"/>
        <v>32.369999999999997</v>
      </c>
      <c r="R199">
        <f t="shared" si="213"/>
        <v>4.4400000000000004</v>
      </c>
      <c r="S199">
        <f t="shared" si="214"/>
        <v>2374.08</v>
      </c>
      <c r="T199">
        <f t="shared" si="215"/>
        <v>0</v>
      </c>
      <c r="U199">
        <f t="shared" si="216"/>
        <v>35.66592</v>
      </c>
      <c r="V199">
        <f t="shared" si="217"/>
        <v>5.16E-2</v>
      </c>
      <c r="W199">
        <f t="shared" si="218"/>
        <v>0</v>
      </c>
      <c r="X199">
        <f t="shared" si="219"/>
        <v>2259.59</v>
      </c>
      <c r="Y199">
        <f t="shared" si="220"/>
        <v>1546.04</v>
      </c>
      <c r="AA199">
        <v>16808636</v>
      </c>
      <c r="AB199">
        <f t="shared" si="221"/>
        <v>523.44000000000005</v>
      </c>
      <c r="AC199">
        <f t="shared" si="222"/>
        <v>106.42</v>
      </c>
      <c r="AD199">
        <f>ROUND(((((ET199*1.2))-((EU199*1.2)))+AE199),2)</f>
        <v>5.61</v>
      </c>
      <c r="AE199">
        <f>ROUND(((EU199*1.2)),2)</f>
        <v>0.77</v>
      </c>
      <c r="AF199">
        <f>ROUND(((EV199*1.2)),2)</f>
        <v>411.41</v>
      </c>
      <c r="AG199">
        <f t="shared" si="224"/>
        <v>0</v>
      </c>
      <c r="AH199">
        <f>((EW199*1.2))</f>
        <v>41.472000000000001</v>
      </c>
      <c r="AI199">
        <f>((EX199*1.2))</f>
        <v>0.06</v>
      </c>
      <c r="AJ199">
        <f t="shared" si="226"/>
        <v>0</v>
      </c>
      <c r="AK199">
        <v>453.93</v>
      </c>
      <c r="AL199">
        <v>106.42</v>
      </c>
      <c r="AM199">
        <v>4.67</v>
      </c>
      <c r="AN199">
        <v>0.64</v>
      </c>
      <c r="AO199">
        <v>342.84</v>
      </c>
      <c r="AP199">
        <v>0</v>
      </c>
      <c r="AQ199">
        <v>34.56</v>
      </c>
      <c r="AR199">
        <v>0.05</v>
      </c>
      <c r="AS199">
        <v>0</v>
      </c>
      <c r="AT199">
        <v>95</v>
      </c>
      <c r="AU199">
        <v>65</v>
      </c>
      <c r="AV199">
        <v>1</v>
      </c>
      <c r="AW199">
        <v>1</v>
      </c>
      <c r="AZ199">
        <v>6.71</v>
      </c>
      <c r="BA199">
        <v>6.71</v>
      </c>
      <c r="BB199">
        <v>6.71</v>
      </c>
      <c r="BC199">
        <v>6.71</v>
      </c>
      <c r="BD199" t="s">
        <v>6</v>
      </c>
      <c r="BE199" t="s">
        <v>6</v>
      </c>
      <c r="BF199" t="s">
        <v>6</v>
      </c>
      <c r="BG199" t="s">
        <v>6</v>
      </c>
      <c r="BH199">
        <v>0</v>
      </c>
      <c r="BI199">
        <v>2</v>
      </c>
      <c r="BJ199" t="s">
        <v>496</v>
      </c>
      <c r="BM199">
        <v>108001</v>
      </c>
      <c r="BN199">
        <v>0</v>
      </c>
      <c r="BO199" t="s">
        <v>6</v>
      </c>
      <c r="BP199">
        <v>0</v>
      </c>
      <c r="BQ199">
        <v>3</v>
      </c>
      <c r="BR199">
        <v>0</v>
      </c>
      <c r="BS199">
        <v>6.71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6</v>
      </c>
      <c r="BZ199">
        <v>95</v>
      </c>
      <c r="CA199">
        <v>65</v>
      </c>
      <c r="CE199">
        <v>0</v>
      </c>
      <c r="CF199">
        <v>0</v>
      </c>
      <c r="CG199">
        <v>0</v>
      </c>
      <c r="CM199">
        <v>0</v>
      </c>
      <c r="CN199" t="s">
        <v>442</v>
      </c>
      <c r="CO199">
        <v>0</v>
      </c>
      <c r="CP199">
        <f t="shared" si="227"/>
        <v>3020.56</v>
      </c>
      <c r="CQ199">
        <f t="shared" si="228"/>
        <v>714.07820000000004</v>
      </c>
      <c r="CR199">
        <f t="shared" si="229"/>
        <v>37.643100000000004</v>
      </c>
      <c r="CS199">
        <f t="shared" si="230"/>
        <v>5.1667000000000005</v>
      </c>
      <c r="CT199">
        <f t="shared" si="231"/>
        <v>2760.5611000000004</v>
      </c>
      <c r="CU199">
        <f t="shared" si="232"/>
        <v>0</v>
      </c>
      <c r="CV199">
        <f t="shared" si="233"/>
        <v>41.472000000000001</v>
      </c>
      <c r="CW199">
        <f t="shared" si="234"/>
        <v>0.06</v>
      </c>
      <c r="CX199">
        <f t="shared" si="235"/>
        <v>0</v>
      </c>
      <c r="CY199">
        <f t="shared" si="236"/>
        <v>2259.5940000000001</v>
      </c>
      <c r="CZ199">
        <f t="shared" si="237"/>
        <v>1546.0379999999998</v>
      </c>
      <c r="DC199" t="s">
        <v>6</v>
      </c>
      <c r="DD199" t="s">
        <v>6</v>
      </c>
      <c r="DE199" t="s">
        <v>443</v>
      </c>
      <c r="DF199" t="s">
        <v>443</v>
      </c>
      <c r="DG199" t="s">
        <v>443</v>
      </c>
      <c r="DH199" t="s">
        <v>6</v>
      </c>
      <c r="DI199" t="s">
        <v>443</v>
      </c>
      <c r="DJ199" t="s">
        <v>443</v>
      </c>
      <c r="DK199" t="s">
        <v>6</v>
      </c>
      <c r="DL199" t="s">
        <v>6</v>
      </c>
      <c r="DM199" t="s">
        <v>6</v>
      </c>
      <c r="DN199">
        <v>0</v>
      </c>
      <c r="DO199">
        <v>0</v>
      </c>
      <c r="DP199">
        <v>1</v>
      </c>
      <c r="DQ199">
        <v>1</v>
      </c>
      <c r="DU199">
        <v>1013</v>
      </c>
      <c r="DV199" t="s">
        <v>28</v>
      </c>
      <c r="DW199" t="s">
        <v>28</v>
      </c>
      <c r="DX199">
        <v>1</v>
      </c>
      <c r="EE199">
        <v>16510370</v>
      </c>
      <c r="EF199">
        <v>3</v>
      </c>
      <c r="EG199" t="s">
        <v>50</v>
      </c>
      <c r="EH199">
        <v>0</v>
      </c>
      <c r="EI199" t="s">
        <v>6</v>
      </c>
      <c r="EJ199">
        <v>2</v>
      </c>
      <c r="EK199">
        <v>108001</v>
      </c>
      <c r="EL199" t="s">
        <v>51</v>
      </c>
      <c r="EM199" t="s">
        <v>52</v>
      </c>
      <c r="EO199" t="s">
        <v>444</v>
      </c>
      <c r="EQ199">
        <v>131072</v>
      </c>
      <c r="ER199">
        <v>453.93</v>
      </c>
      <c r="ES199">
        <v>106.42</v>
      </c>
      <c r="ET199">
        <v>4.67</v>
      </c>
      <c r="EU199">
        <v>0.64</v>
      </c>
      <c r="EV199">
        <v>342.84</v>
      </c>
      <c r="EW199">
        <v>34.56</v>
      </c>
      <c r="EX199">
        <v>0.05</v>
      </c>
      <c r="EY199">
        <v>0</v>
      </c>
      <c r="FQ199">
        <v>0</v>
      </c>
      <c r="FR199">
        <f t="shared" si="238"/>
        <v>0</v>
      </c>
      <c r="FS199">
        <v>0</v>
      </c>
      <c r="FX199">
        <v>95</v>
      </c>
      <c r="FY199">
        <v>65</v>
      </c>
      <c r="GA199" t="s">
        <v>6</v>
      </c>
      <c r="GD199">
        <v>0</v>
      </c>
      <c r="GF199">
        <v>1188648583</v>
      </c>
      <c r="GG199">
        <v>1</v>
      </c>
      <c r="GH199">
        <v>1</v>
      </c>
      <c r="GI199">
        <v>4</v>
      </c>
      <c r="GJ199">
        <v>0</v>
      </c>
      <c r="GK199">
        <f>ROUND(R199*(R12)/100,2)</f>
        <v>0</v>
      </c>
      <c r="GL199">
        <f t="shared" si="239"/>
        <v>0</v>
      </c>
      <c r="GM199">
        <f t="shared" si="240"/>
        <v>6826.19</v>
      </c>
      <c r="GN199">
        <f t="shared" si="241"/>
        <v>0</v>
      </c>
      <c r="GO199">
        <f t="shared" si="242"/>
        <v>6826.19</v>
      </c>
      <c r="GP199">
        <f t="shared" si="243"/>
        <v>0</v>
      </c>
      <c r="GR199">
        <v>0</v>
      </c>
      <c r="GS199">
        <v>3</v>
      </c>
      <c r="GT199">
        <v>0</v>
      </c>
      <c r="GU199" t="s">
        <v>6</v>
      </c>
      <c r="GV199">
        <f t="shared" si="244"/>
        <v>0</v>
      </c>
      <c r="GW199">
        <v>1</v>
      </c>
      <c r="GX199">
        <f t="shared" si="245"/>
        <v>0</v>
      </c>
      <c r="HA199">
        <v>0</v>
      </c>
      <c r="HB199">
        <v>0</v>
      </c>
      <c r="HC199">
        <f t="shared" si="246"/>
        <v>0</v>
      </c>
      <c r="IK199">
        <v>0</v>
      </c>
    </row>
    <row r="200" spans="1:245" x14ac:dyDescent="0.2">
      <c r="A200">
        <v>18</v>
      </c>
      <c r="B200">
        <v>1</v>
      </c>
      <c r="C200">
        <v>301</v>
      </c>
      <c r="E200" t="s">
        <v>497</v>
      </c>
      <c r="F200" t="s">
        <v>498</v>
      </c>
      <c r="G200" t="s">
        <v>499</v>
      </c>
      <c r="H200" t="s">
        <v>326</v>
      </c>
      <c r="I200">
        <f>I199*J200</f>
        <v>0.72</v>
      </c>
      <c r="J200">
        <v>0.83720930232558133</v>
      </c>
      <c r="O200">
        <f t="shared" si="210"/>
        <v>36789.589999999997</v>
      </c>
      <c r="P200">
        <f t="shared" si="211"/>
        <v>36789.589999999997</v>
      </c>
      <c r="Q200">
        <f t="shared" si="212"/>
        <v>0</v>
      </c>
      <c r="R200">
        <f t="shared" si="213"/>
        <v>0</v>
      </c>
      <c r="S200">
        <f t="shared" si="214"/>
        <v>0</v>
      </c>
      <c r="T200">
        <f t="shared" si="215"/>
        <v>0</v>
      </c>
      <c r="U200">
        <f t="shared" si="216"/>
        <v>0</v>
      </c>
      <c r="V200">
        <f t="shared" si="217"/>
        <v>0</v>
      </c>
      <c r="W200">
        <f t="shared" si="218"/>
        <v>0</v>
      </c>
      <c r="X200">
        <f t="shared" si="219"/>
        <v>0</v>
      </c>
      <c r="Y200">
        <f t="shared" si="220"/>
        <v>0</v>
      </c>
      <c r="AA200">
        <v>16808636</v>
      </c>
      <c r="AB200">
        <f t="shared" si="221"/>
        <v>7615</v>
      </c>
      <c r="AC200">
        <f t="shared" si="222"/>
        <v>7615</v>
      </c>
      <c r="AD200">
        <f>ROUND((((ET200)-(EU200))+AE200),2)</f>
        <v>0</v>
      </c>
      <c r="AE200">
        <f>ROUND((EU200),2)</f>
        <v>0</v>
      </c>
      <c r="AF200">
        <f>ROUND((EV200),2)</f>
        <v>0</v>
      </c>
      <c r="AG200">
        <f t="shared" si="224"/>
        <v>0</v>
      </c>
      <c r="AH200">
        <f>(EW200)</f>
        <v>0</v>
      </c>
      <c r="AI200">
        <f>(EX200)</f>
        <v>0</v>
      </c>
      <c r="AJ200">
        <f t="shared" si="226"/>
        <v>0</v>
      </c>
      <c r="AK200">
        <v>7615</v>
      </c>
      <c r="AL200">
        <v>7615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95</v>
      </c>
      <c r="AU200">
        <v>65</v>
      </c>
      <c r="AV200">
        <v>1</v>
      </c>
      <c r="AW200">
        <v>1</v>
      </c>
      <c r="AZ200">
        <v>6.71</v>
      </c>
      <c r="BA200">
        <v>1</v>
      </c>
      <c r="BB200">
        <v>1</v>
      </c>
      <c r="BC200">
        <v>6.71</v>
      </c>
      <c r="BD200" t="s">
        <v>6</v>
      </c>
      <c r="BE200" t="s">
        <v>6</v>
      </c>
      <c r="BF200" t="s">
        <v>6</v>
      </c>
      <c r="BG200" t="s">
        <v>6</v>
      </c>
      <c r="BH200">
        <v>3</v>
      </c>
      <c r="BI200">
        <v>2</v>
      </c>
      <c r="BJ200" t="s">
        <v>500</v>
      </c>
      <c r="BM200">
        <v>108001</v>
      </c>
      <c r="BN200">
        <v>0</v>
      </c>
      <c r="BO200" t="s">
        <v>6</v>
      </c>
      <c r="BP200">
        <v>0</v>
      </c>
      <c r="BQ200">
        <v>3</v>
      </c>
      <c r="BR200">
        <v>0</v>
      </c>
      <c r="BS200">
        <v>1</v>
      </c>
      <c r="BT200">
        <v>1</v>
      </c>
      <c r="BU200">
        <v>1</v>
      </c>
      <c r="BV200">
        <v>1</v>
      </c>
      <c r="BW200">
        <v>1</v>
      </c>
      <c r="BX200">
        <v>1</v>
      </c>
      <c r="BY200" t="s">
        <v>6</v>
      </c>
      <c r="BZ200">
        <v>95</v>
      </c>
      <c r="CA200">
        <v>65</v>
      </c>
      <c r="CE200">
        <v>0</v>
      </c>
      <c r="CF200">
        <v>0</v>
      </c>
      <c r="CG200">
        <v>0</v>
      </c>
      <c r="CM200">
        <v>0</v>
      </c>
      <c r="CN200" t="s">
        <v>6</v>
      </c>
      <c r="CO200">
        <v>0</v>
      </c>
      <c r="CP200">
        <f t="shared" si="227"/>
        <v>36789.589999999997</v>
      </c>
      <c r="CQ200">
        <f t="shared" si="228"/>
        <v>51096.65</v>
      </c>
      <c r="CR200">
        <f t="shared" si="229"/>
        <v>0</v>
      </c>
      <c r="CS200">
        <f t="shared" si="230"/>
        <v>0</v>
      </c>
      <c r="CT200">
        <f t="shared" si="231"/>
        <v>0</v>
      </c>
      <c r="CU200">
        <f t="shared" si="232"/>
        <v>0</v>
      </c>
      <c r="CV200">
        <f t="shared" si="233"/>
        <v>0</v>
      </c>
      <c r="CW200">
        <f t="shared" si="234"/>
        <v>0</v>
      </c>
      <c r="CX200">
        <f t="shared" si="235"/>
        <v>0</v>
      </c>
      <c r="CY200">
        <f t="shared" si="236"/>
        <v>0</v>
      </c>
      <c r="CZ200">
        <f t="shared" si="237"/>
        <v>0</v>
      </c>
      <c r="DC200" t="s">
        <v>6</v>
      </c>
      <c r="DD200" t="s">
        <v>6</v>
      </c>
      <c r="DE200" t="s">
        <v>6</v>
      </c>
      <c r="DF200" t="s">
        <v>6</v>
      </c>
      <c r="DG200" t="s">
        <v>6</v>
      </c>
      <c r="DH200" t="s">
        <v>6</v>
      </c>
      <c r="DI200" t="s">
        <v>6</v>
      </c>
      <c r="DJ200" t="s">
        <v>6</v>
      </c>
      <c r="DK200" t="s">
        <v>6</v>
      </c>
      <c r="DL200" t="s">
        <v>6</v>
      </c>
      <c r="DM200" t="s">
        <v>6</v>
      </c>
      <c r="DN200">
        <v>0</v>
      </c>
      <c r="DO200">
        <v>0</v>
      </c>
      <c r="DP200">
        <v>1</v>
      </c>
      <c r="DQ200">
        <v>1</v>
      </c>
      <c r="DU200">
        <v>1010</v>
      </c>
      <c r="DV200" t="s">
        <v>326</v>
      </c>
      <c r="DW200" t="s">
        <v>326</v>
      </c>
      <c r="DX200">
        <v>100</v>
      </c>
      <c r="EE200">
        <v>16510370</v>
      </c>
      <c r="EF200">
        <v>3</v>
      </c>
      <c r="EG200" t="s">
        <v>50</v>
      </c>
      <c r="EH200">
        <v>0</v>
      </c>
      <c r="EI200" t="s">
        <v>6</v>
      </c>
      <c r="EJ200">
        <v>2</v>
      </c>
      <c r="EK200">
        <v>108001</v>
      </c>
      <c r="EL200" t="s">
        <v>51</v>
      </c>
      <c r="EM200" t="s">
        <v>52</v>
      </c>
      <c r="EO200" t="s">
        <v>6</v>
      </c>
      <c r="EQ200">
        <v>0</v>
      </c>
      <c r="ER200">
        <v>7615</v>
      </c>
      <c r="ES200">
        <v>7615</v>
      </c>
      <c r="ET200">
        <v>0</v>
      </c>
      <c r="EU200">
        <v>0</v>
      </c>
      <c r="EV200">
        <v>0</v>
      </c>
      <c r="EW200">
        <v>0</v>
      </c>
      <c r="EX200">
        <v>0</v>
      </c>
      <c r="FQ200">
        <v>0</v>
      </c>
      <c r="FR200">
        <f t="shared" si="238"/>
        <v>0</v>
      </c>
      <c r="FS200">
        <v>0</v>
      </c>
      <c r="FX200">
        <v>95</v>
      </c>
      <c r="FY200">
        <v>65</v>
      </c>
      <c r="GA200" t="s">
        <v>6</v>
      </c>
      <c r="GD200">
        <v>0</v>
      </c>
      <c r="GF200">
        <v>-1618980659</v>
      </c>
      <c r="GG200">
        <v>1</v>
      </c>
      <c r="GH200">
        <v>1</v>
      </c>
      <c r="GI200">
        <v>4</v>
      </c>
      <c r="GJ200">
        <v>0</v>
      </c>
      <c r="GK200">
        <f>ROUND(R200*(R12)/100,2)</f>
        <v>0</v>
      </c>
      <c r="GL200">
        <f t="shared" si="239"/>
        <v>0</v>
      </c>
      <c r="GM200">
        <f t="shared" si="240"/>
        <v>36789.589999999997</v>
      </c>
      <c r="GN200">
        <f t="shared" si="241"/>
        <v>0</v>
      </c>
      <c r="GO200">
        <f t="shared" si="242"/>
        <v>36789.589999999997</v>
      </c>
      <c r="GP200">
        <f t="shared" si="243"/>
        <v>0</v>
      </c>
      <c r="GR200">
        <v>0</v>
      </c>
      <c r="GS200">
        <v>3</v>
      </c>
      <c r="GT200">
        <v>0</v>
      </c>
      <c r="GU200" t="s">
        <v>6</v>
      </c>
      <c r="GV200">
        <f t="shared" si="244"/>
        <v>0</v>
      </c>
      <c r="GW200">
        <v>1</v>
      </c>
      <c r="GX200">
        <f t="shared" si="245"/>
        <v>0</v>
      </c>
      <c r="HA200">
        <v>0</v>
      </c>
      <c r="HB200">
        <v>0</v>
      </c>
      <c r="HC200">
        <f t="shared" si="246"/>
        <v>0</v>
      </c>
      <c r="IK200">
        <v>0</v>
      </c>
    </row>
    <row r="201" spans="1:245" x14ac:dyDescent="0.2">
      <c r="A201">
        <v>18</v>
      </c>
      <c r="B201">
        <v>1</v>
      </c>
      <c r="C201">
        <v>302</v>
      </c>
      <c r="E201" t="s">
        <v>501</v>
      </c>
      <c r="F201" t="s">
        <v>502</v>
      </c>
      <c r="G201" t="s">
        <v>503</v>
      </c>
      <c r="H201" t="s">
        <v>326</v>
      </c>
      <c r="I201">
        <f>I199*J201</f>
        <v>0.14000000000000001</v>
      </c>
      <c r="J201">
        <v>0.16279069767441862</v>
      </c>
      <c r="O201">
        <f t="shared" si="210"/>
        <v>659.46</v>
      </c>
      <c r="P201">
        <f t="shared" si="211"/>
        <v>659.46</v>
      </c>
      <c r="Q201">
        <f t="shared" si="212"/>
        <v>0</v>
      </c>
      <c r="R201">
        <f t="shared" si="213"/>
        <v>0</v>
      </c>
      <c r="S201">
        <f t="shared" si="214"/>
        <v>0</v>
      </c>
      <c r="T201">
        <f t="shared" si="215"/>
        <v>0</v>
      </c>
      <c r="U201">
        <f t="shared" si="216"/>
        <v>0</v>
      </c>
      <c r="V201">
        <f t="shared" si="217"/>
        <v>0</v>
      </c>
      <c r="W201">
        <f t="shared" si="218"/>
        <v>0</v>
      </c>
      <c r="X201">
        <f t="shared" si="219"/>
        <v>0</v>
      </c>
      <c r="Y201">
        <f t="shared" si="220"/>
        <v>0</v>
      </c>
      <c r="AA201">
        <v>16808636</v>
      </c>
      <c r="AB201">
        <f t="shared" si="221"/>
        <v>702</v>
      </c>
      <c r="AC201">
        <f t="shared" si="222"/>
        <v>702</v>
      </c>
      <c r="AD201">
        <f>ROUND((((ET201)-(EU201))+AE201),2)</f>
        <v>0</v>
      </c>
      <c r="AE201">
        <f>ROUND((EU201),2)</f>
        <v>0</v>
      </c>
      <c r="AF201">
        <f>ROUND((EV201),2)</f>
        <v>0</v>
      </c>
      <c r="AG201">
        <f t="shared" si="224"/>
        <v>0</v>
      </c>
      <c r="AH201">
        <f>(EW201)</f>
        <v>0</v>
      </c>
      <c r="AI201">
        <f>(EX201)</f>
        <v>0</v>
      </c>
      <c r="AJ201">
        <f t="shared" si="226"/>
        <v>0</v>
      </c>
      <c r="AK201">
        <v>702</v>
      </c>
      <c r="AL201">
        <v>702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95</v>
      </c>
      <c r="AU201">
        <v>65</v>
      </c>
      <c r="AV201">
        <v>1</v>
      </c>
      <c r="AW201">
        <v>1</v>
      </c>
      <c r="AZ201">
        <v>6.71</v>
      </c>
      <c r="BA201">
        <v>1</v>
      </c>
      <c r="BB201">
        <v>1</v>
      </c>
      <c r="BC201">
        <v>6.71</v>
      </c>
      <c r="BD201" t="s">
        <v>6</v>
      </c>
      <c r="BE201" t="s">
        <v>6</v>
      </c>
      <c r="BF201" t="s">
        <v>6</v>
      </c>
      <c r="BG201" t="s">
        <v>6</v>
      </c>
      <c r="BH201">
        <v>3</v>
      </c>
      <c r="BI201">
        <v>2</v>
      </c>
      <c r="BJ201" t="s">
        <v>504</v>
      </c>
      <c r="BM201">
        <v>108001</v>
      </c>
      <c r="BN201">
        <v>0</v>
      </c>
      <c r="BO201" t="s">
        <v>6</v>
      </c>
      <c r="BP201">
        <v>0</v>
      </c>
      <c r="BQ201">
        <v>3</v>
      </c>
      <c r="BR201">
        <v>0</v>
      </c>
      <c r="BS201">
        <v>1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6</v>
      </c>
      <c r="BZ201">
        <v>95</v>
      </c>
      <c r="CA201">
        <v>65</v>
      </c>
      <c r="CE201">
        <v>0</v>
      </c>
      <c r="CF201">
        <v>0</v>
      </c>
      <c r="CG201">
        <v>0</v>
      </c>
      <c r="CM201">
        <v>0</v>
      </c>
      <c r="CN201" t="s">
        <v>6</v>
      </c>
      <c r="CO201">
        <v>0</v>
      </c>
      <c r="CP201">
        <f t="shared" si="227"/>
        <v>659.46</v>
      </c>
      <c r="CQ201">
        <f t="shared" si="228"/>
        <v>4710.42</v>
      </c>
      <c r="CR201">
        <f t="shared" si="229"/>
        <v>0</v>
      </c>
      <c r="CS201">
        <f t="shared" si="230"/>
        <v>0</v>
      </c>
      <c r="CT201">
        <f t="shared" si="231"/>
        <v>0</v>
      </c>
      <c r="CU201">
        <f t="shared" si="232"/>
        <v>0</v>
      </c>
      <c r="CV201">
        <f t="shared" si="233"/>
        <v>0</v>
      </c>
      <c r="CW201">
        <f t="shared" si="234"/>
        <v>0</v>
      </c>
      <c r="CX201">
        <f t="shared" si="235"/>
        <v>0</v>
      </c>
      <c r="CY201">
        <f t="shared" si="236"/>
        <v>0</v>
      </c>
      <c r="CZ201">
        <f t="shared" si="237"/>
        <v>0</v>
      </c>
      <c r="DC201" t="s">
        <v>6</v>
      </c>
      <c r="DD201" t="s">
        <v>6</v>
      </c>
      <c r="DE201" t="s">
        <v>6</v>
      </c>
      <c r="DF201" t="s">
        <v>6</v>
      </c>
      <c r="DG201" t="s">
        <v>6</v>
      </c>
      <c r="DH201" t="s">
        <v>6</v>
      </c>
      <c r="DI201" t="s">
        <v>6</v>
      </c>
      <c r="DJ201" t="s">
        <v>6</v>
      </c>
      <c r="DK201" t="s">
        <v>6</v>
      </c>
      <c r="DL201" t="s">
        <v>6</v>
      </c>
      <c r="DM201" t="s">
        <v>6</v>
      </c>
      <c r="DN201">
        <v>0</v>
      </c>
      <c r="DO201">
        <v>0</v>
      </c>
      <c r="DP201">
        <v>1</v>
      </c>
      <c r="DQ201">
        <v>1</v>
      </c>
      <c r="DU201">
        <v>1010</v>
      </c>
      <c r="DV201" t="s">
        <v>326</v>
      </c>
      <c r="DW201" t="s">
        <v>326</v>
      </c>
      <c r="DX201">
        <v>100</v>
      </c>
      <c r="EE201">
        <v>16510370</v>
      </c>
      <c r="EF201">
        <v>3</v>
      </c>
      <c r="EG201" t="s">
        <v>50</v>
      </c>
      <c r="EH201">
        <v>0</v>
      </c>
      <c r="EI201" t="s">
        <v>6</v>
      </c>
      <c r="EJ201">
        <v>2</v>
      </c>
      <c r="EK201">
        <v>108001</v>
      </c>
      <c r="EL201" t="s">
        <v>51</v>
      </c>
      <c r="EM201" t="s">
        <v>52</v>
      </c>
      <c r="EO201" t="s">
        <v>6</v>
      </c>
      <c r="EQ201">
        <v>0</v>
      </c>
      <c r="ER201">
        <v>702</v>
      </c>
      <c r="ES201">
        <v>702</v>
      </c>
      <c r="ET201">
        <v>0</v>
      </c>
      <c r="EU201">
        <v>0</v>
      </c>
      <c r="EV201">
        <v>0</v>
      </c>
      <c r="EW201">
        <v>0</v>
      </c>
      <c r="EX201">
        <v>0</v>
      </c>
      <c r="FQ201">
        <v>0</v>
      </c>
      <c r="FR201">
        <f t="shared" si="238"/>
        <v>0</v>
      </c>
      <c r="FS201">
        <v>0</v>
      </c>
      <c r="FX201">
        <v>95</v>
      </c>
      <c r="FY201">
        <v>65</v>
      </c>
      <c r="GA201" t="s">
        <v>6</v>
      </c>
      <c r="GD201">
        <v>0</v>
      </c>
      <c r="GF201">
        <v>-863365960</v>
      </c>
      <c r="GG201">
        <v>1</v>
      </c>
      <c r="GH201">
        <v>1</v>
      </c>
      <c r="GI201">
        <v>4</v>
      </c>
      <c r="GJ201">
        <v>0</v>
      </c>
      <c r="GK201">
        <f>ROUND(R201*(R12)/100,2)</f>
        <v>0</v>
      </c>
      <c r="GL201">
        <f t="shared" si="239"/>
        <v>0</v>
      </c>
      <c r="GM201">
        <f t="shared" si="240"/>
        <v>659.46</v>
      </c>
      <c r="GN201">
        <f t="shared" si="241"/>
        <v>0</v>
      </c>
      <c r="GO201">
        <f t="shared" si="242"/>
        <v>659.46</v>
      </c>
      <c r="GP201">
        <f t="shared" si="243"/>
        <v>0</v>
      </c>
      <c r="GR201">
        <v>0</v>
      </c>
      <c r="GS201">
        <v>3</v>
      </c>
      <c r="GT201">
        <v>0</v>
      </c>
      <c r="GU201" t="s">
        <v>6</v>
      </c>
      <c r="GV201">
        <f t="shared" si="244"/>
        <v>0</v>
      </c>
      <c r="GW201">
        <v>1</v>
      </c>
      <c r="GX201">
        <f t="shared" si="245"/>
        <v>0</v>
      </c>
      <c r="HA201">
        <v>0</v>
      </c>
      <c r="HB201">
        <v>0</v>
      </c>
      <c r="HC201">
        <f t="shared" si="246"/>
        <v>0</v>
      </c>
      <c r="IK201">
        <v>0</v>
      </c>
    </row>
    <row r="202" spans="1:245" x14ac:dyDescent="0.2">
      <c r="A202">
        <v>17</v>
      </c>
      <c r="B202">
        <v>1</v>
      </c>
      <c r="C202">
        <f>ROW(SmtRes!A312)</f>
        <v>312</v>
      </c>
      <c r="D202">
        <f>ROW(EtalonRes!A286)</f>
        <v>286</v>
      </c>
      <c r="E202" t="s">
        <v>505</v>
      </c>
      <c r="F202" t="s">
        <v>506</v>
      </c>
      <c r="G202" t="s">
        <v>507</v>
      </c>
      <c r="H202" t="s">
        <v>28</v>
      </c>
      <c r="I202">
        <f>ROUND(8/100,9)</f>
        <v>0.08</v>
      </c>
      <c r="J202">
        <v>0</v>
      </c>
      <c r="O202">
        <f t="shared" si="210"/>
        <v>282.88</v>
      </c>
      <c r="P202">
        <f t="shared" si="211"/>
        <v>55.39</v>
      </c>
      <c r="Q202">
        <f t="shared" si="212"/>
        <v>3.01</v>
      </c>
      <c r="R202">
        <f t="shared" si="213"/>
        <v>0.41</v>
      </c>
      <c r="S202">
        <f t="shared" si="214"/>
        <v>224.48</v>
      </c>
      <c r="T202">
        <f t="shared" si="215"/>
        <v>0</v>
      </c>
      <c r="U202">
        <f t="shared" si="216"/>
        <v>3.3724799999999999</v>
      </c>
      <c r="V202">
        <f t="shared" si="217"/>
        <v>4.7999999999999996E-3</v>
      </c>
      <c r="W202">
        <f t="shared" si="218"/>
        <v>0</v>
      </c>
      <c r="X202">
        <f t="shared" si="219"/>
        <v>213.65</v>
      </c>
      <c r="Y202">
        <f t="shared" si="220"/>
        <v>146.18</v>
      </c>
      <c r="AA202">
        <v>16808636</v>
      </c>
      <c r="AB202">
        <f t="shared" si="221"/>
        <v>526.99</v>
      </c>
      <c r="AC202">
        <f t="shared" si="222"/>
        <v>103.19</v>
      </c>
      <c r="AD202">
        <f>ROUND(((((ET202*1.2))-((EU202*1.2)))+AE202),2)</f>
        <v>5.61</v>
      </c>
      <c r="AE202">
        <f>ROUND(((EU202*1.2)),2)</f>
        <v>0.77</v>
      </c>
      <c r="AF202">
        <f>ROUND(((EV202*1.2)),2)</f>
        <v>418.19</v>
      </c>
      <c r="AG202">
        <f t="shared" si="224"/>
        <v>0</v>
      </c>
      <c r="AH202">
        <f>((EW202*1.2))</f>
        <v>42.155999999999999</v>
      </c>
      <c r="AI202">
        <f>((EX202*1.2))</f>
        <v>0.06</v>
      </c>
      <c r="AJ202">
        <f t="shared" si="226"/>
        <v>0</v>
      </c>
      <c r="AK202">
        <v>456.35</v>
      </c>
      <c r="AL202">
        <v>103.19</v>
      </c>
      <c r="AM202">
        <v>4.67</v>
      </c>
      <c r="AN202">
        <v>0.64</v>
      </c>
      <c r="AO202">
        <v>348.49</v>
      </c>
      <c r="AP202">
        <v>0</v>
      </c>
      <c r="AQ202">
        <v>35.130000000000003</v>
      </c>
      <c r="AR202">
        <v>0.05</v>
      </c>
      <c r="AS202">
        <v>0</v>
      </c>
      <c r="AT202">
        <v>95</v>
      </c>
      <c r="AU202">
        <v>65</v>
      </c>
      <c r="AV202">
        <v>1</v>
      </c>
      <c r="AW202">
        <v>1</v>
      </c>
      <c r="AZ202">
        <v>6.71</v>
      </c>
      <c r="BA202">
        <v>6.71</v>
      </c>
      <c r="BB202">
        <v>6.71</v>
      </c>
      <c r="BC202">
        <v>6.71</v>
      </c>
      <c r="BD202" t="s">
        <v>6</v>
      </c>
      <c r="BE202" t="s">
        <v>6</v>
      </c>
      <c r="BF202" t="s">
        <v>6</v>
      </c>
      <c r="BG202" t="s">
        <v>6</v>
      </c>
      <c r="BH202">
        <v>0</v>
      </c>
      <c r="BI202">
        <v>2</v>
      </c>
      <c r="BJ202" t="s">
        <v>508</v>
      </c>
      <c r="BM202">
        <v>108001</v>
      </c>
      <c r="BN202">
        <v>0</v>
      </c>
      <c r="BO202" t="s">
        <v>6</v>
      </c>
      <c r="BP202">
        <v>0</v>
      </c>
      <c r="BQ202">
        <v>3</v>
      </c>
      <c r="BR202">
        <v>0</v>
      </c>
      <c r="BS202">
        <v>6.71</v>
      </c>
      <c r="BT202">
        <v>1</v>
      </c>
      <c r="BU202">
        <v>1</v>
      </c>
      <c r="BV202">
        <v>1</v>
      </c>
      <c r="BW202">
        <v>1</v>
      </c>
      <c r="BX202">
        <v>1</v>
      </c>
      <c r="BY202" t="s">
        <v>6</v>
      </c>
      <c r="BZ202">
        <v>95</v>
      </c>
      <c r="CA202">
        <v>65</v>
      </c>
      <c r="CE202">
        <v>0</v>
      </c>
      <c r="CF202">
        <v>0</v>
      </c>
      <c r="CG202">
        <v>0</v>
      </c>
      <c r="CM202">
        <v>0</v>
      </c>
      <c r="CN202" t="s">
        <v>442</v>
      </c>
      <c r="CO202">
        <v>0</v>
      </c>
      <c r="CP202">
        <f t="shared" si="227"/>
        <v>282.88</v>
      </c>
      <c r="CQ202">
        <f t="shared" si="228"/>
        <v>692.4049</v>
      </c>
      <c r="CR202">
        <f t="shared" si="229"/>
        <v>37.643100000000004</v>
      </c>
      <c r="CS202">
        <f t="shared" si="230"/>
        <v>5.1667000000000005</v>
      </c>
      <c r="CT202">
        <f t="shared" si="231"/>
        <v>2806.0549000000001</v>
      </c>
      <c r="CU202">
        <f t="shared" si="232"/>
        <v>0</v>
      </c>
      <c r="CV202">
        <f t="shared" si="233"/>
        <v>42.155999999999999</v>
      </c>
      <c r="CW202">
        <f t="shared" si="234"/>
        <v>0.06</v>
      </c>
      <c r="CX202">
        <f t="shared" si="235"/>
        <v>0</v>
      </c>
      <c r="CY202">
        <f t="shared" si="236"/>
        <v>213.6455</v>
      </c>
      <c r="CZ202">
        <f t="shared" si="237"/>
        <v>146.17849999999999</v>
      </c>
      <c r="DC202" t="s">
        <v>6</v>
      </c>
      <c r="DD202" t="s">
        <v>6</v>
      </c>
      <c r="DE202" t="s">
        <v>443</v>
      </c>
      <c r="DF202" t="s">
        <v>443</v>
      </c>
      <c r="DG202" t="s">
        <v>443</v>
      </c>
      <c r="DH202" t="s">
        <v>6</v>
      </c>
      <c r="DI202" t="s">
        <v>443</v>
      </c>
      <c r="DJ202" t="s">
        <v>443</v>
      </c>
      <c r="DK202" t="s">
        <v>6</v>
      </c>
      <c r="DL202" t="s">
        <v>6</v>
      </c>
      <c r="DM202" t="s">
        <v>6</v>
      </c>
      <c r="DN202">
        <v>0</v>
      </c>
      <c r="DO202">
        <v>0</v>
      </c>
      <c r="DP202">
        <v>1</v>
      </c>
      <c r="DQ202">
        <v>1</v>
      </c>
      <c r="DU202">
        <v>1013</v>
      </c>
      <c r="DV202" t="s">
        <v>28</v>
      </c>
      <c r="DW202" t="s">
        <v>28</v>
      </c>
      <c r="DX202">
        <v>1</v>
      </c>
      <c r="EE202">
        <v>16510370</v>
      </c>
      <c r="EF202">
        <v>3</v>
      </c>
      <c r="EG202" t="s">
        <v>50</v>
      </c>
      <c r="EH202">
        <v>0</v>
      </c>
      <c r="EI202" t="s">
        <v>6</v>
      </c>
      <c r="EJ202">
        <v>2</v>
      </c>
      <c r="EK202">
        <v>108001</v>
      </c>
      <c r="EL202" t="s">
        <v>51</v>
      </c>
      <c r="EM202" t="s">
        <v>52</v>
      </c>
      <c r="EO202" t="s">
        <v>444</v>
      </c>
      <c r="EQ202">
        <v>131072</v>
      </c>
      <c r="ER202">
        <v>456.35</v>
      </c>
      <c r="ES202">
        <v>103.19</v>
      </c>
      <c r="ET202">
        <v>4.67</v>
      </c>
      <c r="EU202">
        <v>0.64</v>
      </c>
      <c r="EV202">
        <v>348.49</v>
      </c>
      <c r="EW202">
        <v>35.130000000000003</v>
      </c>
      <c r="EX202">
        <v>0.05</v>
      </c>
      <c r="EY202">
        <v>0</v>
      </c>
      <c r="FQ202">
        <v>0</v>
      </c>
      <c r="FR202">
        <f t="shared" si="238"/>
        <v>0</v>
      </c>
      <c r="FS202">
        <v>0</v>
      </c>
      <c r="FX202">
        <v>95</v>
      </c>
      <c r="FY202">
        <v>65</v>
      </c>
      <c r="GA202" t="s">
        <v>6</v>
      </c>
      <c r="GD202">
        <v>0</v>
      </c>
      <c r="GF202">
        <v>-991288307</v>
      </c>
      <c r="GG202">
        <v>1</v>
      </c>
      <c r="GH202">
        <v>1</v>
      </c>
      <c r="GI202">
        <v>4</v>
      </c>
      <c r="GJ202">
        <v>0</v>
      </c>
      <c r="GK202">
        <f>ROUND(R202*(R12)/100,2)</f>
        <v>0</v>
      </c>
      <c r="GL202">
        <f t="shared" si="239"/>
        <v>0</v>
      </c>
      <c r="GM202">
        <f t="shared" si="240"/>
        <v>642.71</v>
      </c>
      <c r="GN202">
        <f t="shared" si="241"/>
        <v>0</v>
      </c>
      <c r="GO202">
        <f t="shared" si="242"/>
        <v>642.71</v>
      </c>
      <c r="GP202">
        <f t="shared" si="243"/>
        <v>0</v>
      </c>
      <c r="GR202">
        <v>0</v>
      </c>
      <c r="GS202">
        <v>3</v>
      </c>
      <c r="GT202">
        <v>0</v>
      </c>
      <c r="GU202" t="s">
        <v>6</v>
      </c>
      <c r="GV202">
        <f t="shared" si="244"/>
        <v>0</v>
      </c>
      <c r="GW202">
        <v>1</v>
      </c>
      <c r="GX202">
        <f t="shared" si="245"/>
        <v>0</v>
      </c>
      <c r="HA202">
        <v>0</v>
      </c>
      <c r="HB202">
        <v>0</v>
      </c>
      <c r="HC202">
        <f t="shared" si="246"/>
        <v>0</v>
      </c>
      <c r="IK202">
        <v>0</v>
      </c>
    </row>
    <row r="203" spans="1:245" x14ac:dyDescent="0.2">
      <c r="A203">
        <v>18</v>
      </c>
      <c r="B203">
        <v>1</v>
      </c>
      <c r="C203">
        <v>311</v>
      </c>
      <c r="E203" t="s">
        <v>509</v>
      </c>
      <c r="F203" t="s">
        <v>510</v>
      </c>
      <c r="G203" t="s">
        <v>511</v>
      </c>
      <c r="H203" t="s">
        <v>512</v>
      </c>
      <c r="I203">
        <f>I202*J203</f>
        <v>0.8</v>
      </c>
      <c r="J203">
        <v>10</v>
      </c>
      <c r="O203">
        <f t="shared" si="210"/>
        <v>390.79</v>
      </c>
      <c r="P203">
        <f t="shared" si="211"/>
        <v>390.79</v>
      </c>
      <c r="Q203">
        <f t="shared" si="212"/>
        <v>0</v>
      </c>
      <c r="R203">
        <f t="shared" si="213"/>
        <v>0</v>
      </c>
      <c r="S203">
        <f t="shared" si="214"/>
        <v>0</v>
      </c>
      <c r="T203">
        <f t="shared" si="215"/>
        <v>0</v>
      </c>
      <c r="U203">
        <f t="shared" si="216"/>
        <v>0</v>
      </c>
      <c r="V203">
        <f t="shared" si="217"/>
        <v>0</v>
      </c>
      <c r="W203">
        <f t="shared" si="218"/>
        <v>0</v>
      </c>
      <c r="X203">
        <f t="shared" si="219"/>
        <v>0</v>
      </c>
      <c r="Y203">
        <f t="shared" si="220"/>
        <v>0</v>
      </c>
      <c r="AA203">
        <v>16808636</v>
      </c>
      <c r="AB203">
        <f t="shared" si="221"/>
        <v>72.8</v>
      </c>
      <c r="AC203">
        <f t="shared" si="222"/>
        <v>72.8</v>
      </c>
      <c r="AD203">
        <f>ROUND((((ET203)-(EU203))+AE203),2)</f>
        <v>0</v>
      </c>
      <c r="AE203">
        <f>ROUND((EU203),2)</f>
        <v>0</v>
      </c>
      <c r="AF203">
        <f>ROUND((EV203),2)</f>
        <v>0</v>
      </c>
      <c r="AG203">
        <f t="shared" si="224"/>
        <v>0</v>
      </c>
      <c r="AH203">
        <f>(EW203)</f>
        <v>0</v>
      </c>
      <c r="AI203">
        <f>(EX203)</f>
        <v>0</v>
      </c>
      <c r="AJ203">
        <f t="shared" si="226"/>
        <v>0</v>
      </c>
      <c r="AK203">
        <v>72.8</v>
      </c>
      <c r="AL203">
        <v>72.8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95</v>
      </c>
      <c r="AU203">
        <v>65</v>
      </c>
      <c r="AV203">
        <v>1</v>
      </c>
      <c r="AW203">
        <v>1</v>
      </c>
      <c r="AZ203">
        <v>6.71</v>
      </c>
      <c r="BA203">
        <v>1</v>
      </c>
      <c r="BB203">
        <v>1</v>
      </c>
      <c r="BC203">
        <v>6.71</v>
      </c>
      <c r="BD203" t="s">
        <v>6</v>
      </c>
      <c r="BE203" t="s">
        <v>6</v>
      </c>
      <c r="BF203" t="s">
        <v>6</v>
      </c>
      <c r="BG203" t="s">
        <v>6</v>
      </c>
      <c r="BH203">
        <v>3</v>
      </c>
      <c r="BI203">
        <v>2</v>
      </c>
      <c r="BJ203" t="s">
        <v>513</v>
      </c>
      <c r="BM203">
        <v>108001</v>
      </c>
      <c r="BN203">
        <v>0</v>
      </c>
      <c r="BO203" t="s">
        <v>6</v>
      </c>
      <c r="BP203">
        <v>0</v>
      </c>
      <c r="BQ203">
        <v>3</v>
      </c>
      <c r="BR203">
        <v>0</v>
      </c>
      <c r="BS203">
        <v>1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6</v>
      </c>
      <c r="BZ203">
        <v>95</v>
      </c>
      <c r="CA203">
        <v>65</v>
      </c>
      <c r="CE203">
        <v>0</v>
      </c>
      <c r="CF203">
        <v>0</v>
      </c>
      <c r="CG203">
        <v>0</v>
      </c>
      <c r="CM203">
        <v>0</v>
      </c>
      <c r="CN203" t="s">
        <v>6</v>
      </c>
      <c r="CO203">
        <v>0</v>
      </c>
      <c r="CP203">
        <f t="shared" si="227"/>
        <v>390.79</v>
      </c>
      <c r="CQ203">
        <f t="shared" si="228"/>
        <v>488.488</v>
      </c>
      <c r="CR203">
        <f t="shared" si="229"/>
        <v>0</v>
      </c>
      <c r="CS203">
        <f t="shared" si="230"/>
        <v>0</v>
      </c>
      <c r="CT203">
        <f t="shared" si="231"/>
        <v>0</v>
      </c>
      <c r="CU203">
        <f t="shared" si="232"/>
        <v>0</v>
      </c>
      <c r="CV203">
        <f t="shared" si="233"/>
        <v>0</v>
      </c>
      <c r="CW203">
        <f t="shared" si="234"/>
        <v>0</v>
      </c>
      <c r="CX203">
        <f t="shared" si="235"/>
        <v>0</v>
      </c>
      <c r="CY203">
        <f t="shared" si="236"/>
        <v>0</v>
      </c>
      <c r="CZ203">
        <f t="shared" si="237"/>
        <v>0</v>
      </c>
      <c r="DC203" t="s">
        <v>6</v>
      </c>
      <c r="DD203" t="s">
        <v>6</v>
      </c>
      <c r="DE203" t="s">
        <v>6</v>
      </c>
      <c r="DF203" t="s">
        <v>6</v>
      </c>
      <c r="DG203" t="s">
        <v>6</v>
      </c>
      <c r="DH203" t="s">
        <v>6</v>
      </c>
      <c r="DI203" t="s">
        <v>6</v>
      </c>
      <c r="DJ203" t="s">
        <v>6</v>
      </c>
      <c r="DK203" t="s">
        <v>6</v>
      </c>
      <c r="DL203" t="s">
        <v>6</v>
      </c>
      <c r="DM203" t="s">
        <v>6</v>
      </c>
      <c r="DN203">
        <v>0</v>
      </c>
      <c r="DO203">
        <v>0</v>
      </c>
      <c r="DP203">
        <v>1</v>
      </c>
      <c r="DQ203">
        <v>1</v>
      </c>
      <c r="DU203">
        <v>1010</v>
      </c>
      <c r="DV203" t="s">
        <v>512</v>
      </c>
      <c r="DW203" t="s">
        <v>512</v>
      </c>
      <c r="DX203">
        <v>10</v>
      </c>
      <c r="EE203">
        <v>16510370</v>
      </c>
      <c r="EF203">
        <v>3</v>
      </c>
      <c r="EG203" t="s">
        <v>50</v>
      </c>
      <c r="EH203">
        <v>0</v>
      </c>
      <c r="EI203" t="s">
        <v>6</v>
      </c>
      <c r="EJ203">
        <v>2</v>
      </c>
      <c r="EK203">
        <v>108001</v>
      </c>
      <c r="EL203" t="s">
        <v>51</v>
      </c>
      <c r="EM203" t="s">
        <v>52</v>
      </c>
      <c r="EO203" t="s">
        <v>6</v>
      </c>
      <c r="EQ203">
        <v>0</v>
      </c>
      <c r="ER203">
        <v>72.8</v>
      </c>
      <c r="ES203">
        <v>72.8</v>
      </c>
      <c r="ET203">
        <v>0</v>
      </c>
      <c r="EU203">
        <v>0</v>
      </c>
      <c r="EV203">
        <v>0</v>
      </c>
      <c r="EW203">
        <v>0</v>
      </c>
      <c r="EX203">
        <v>0</v>
      </c>
      <c r="FQ203">
        <v>0</v>
      </c>
      <c r="FR203">
        <f t="shared" si="238"/>
        <v>0</v>
      </c>
      <c r="FS203">
        <v>0</v>
      </c>
      <c r="FX203">
        <v>95</v>
      </c>
      <c r="FY203">
        <v>65</v>
      </c>
      <c r="GA203" t="s">
        <v>6</v>
      </c>
      <c r="GD203">
        <v>0</v>
      </c>
      <c r="GF203">
        <v>668519206</v>
      </c>
      <c r="GG203">
        <v>1</v>
      </c>
      <c r="GH203">
        <v>1</v>
      </c>
      <c r="GI203">
        <v>4</v>
      </c>
      <c r="GJ203">
        <v>0</v>
      </c>
      <c r="GK203">
        <f>ROUND(R203*(R12)/100,2)</f>
        <v>0</v>
      </c>
      <c r="GL203">
        <f t="shared" si="239"/>
        <v>0</v>
      </c>
      <c r="GM203">
        <f t="shared" si="240"/>
        <v>390.79</v>
      </c>
      <c r="GN203">
        <f t="shared" si="241"/>
        <v>0</v>
      </c>
      <c r="GO203">
        <f t="shared" si="242"/>
        <v>390.79</v>
      </c>
      <c r="GP203">
        <f t="shared" si="243"/>
        <v>0</v>
      </c>
      <c r="GR203">
        <v>0</v>
      </c>
      <c r="GS203">
        <v>3</v>
      </c>
      <c r="GT203">
        <v>0</v>
      </c>
      <c r="GU203" t="s">
        <v>6</v>
      </c>
      <c r="GV203">
        <f t="shared" si="244"/>
        <v>0</v>
      </c>
      <c r="GW203">
        <v>1</v>
      </c>
      <c r="GX203">
        <f t="shared" si="245"/>
        <v>0</v>
      </c>
      <c r="HA203">
        <v>0</v>
      </c>
      <c r="HB203">
        <v>0</v>
      </c>
      <c r="HC203">
        <f t="shared" si="246"/>
        <v>0</v>
      </c>
      <c r="IK203">
        <v>0</v>
      </c>
    </row>
    <row r="204" spans="1:245" x14ac:dyDescent="0.2">
      <c r="A204">
        <v>17</v>
      </c>
      <c r="B204">
        <v>1</v>
      </c>
      <c r="C204">
        <f>ROW(SmtRes!A313)</f>
        <v>313</v>
      </c>
      <c r="D204">
        <f>ROW(EtalonRes!A288)</f>
        <v>288</v>
      </c>
      <c r="E204" t="s">
        <v>514</v>
      </c>
      <c r="F204" t="s">
        <v>515</v>
      </c>
      <c r="G204" t="s">
        <v>516</v>
      </c>
      <c r="H204" t="s">
        <v>28</v>
      </c>
      <c r="I204">
        <f>ROUND(8/100,9)</f>
        <v>0.08</v>
      </c>
      <c r="J204">
        <v>0</v>
      </c>
      <c r="O204">
        <f t="shared" si="210"/>
        <v>501.19</v>
      </c>
      <c r="P204">
        <f t="shared" si="211"/>
        <v>0</v>
      </c>
      <c r="Q204">
        <f t="shared" si="212"/>
        <v>0</v>
      </c>
      <c r="R204">
        <f t="shared" si="213"/>
        <v>0</v>
      </c>
      <c r="S204">
        <f t="shared" si="214"/>
        <v>501.19</v>
      </c>
      <c r="T204">
        <f t="shared" si="215"/>
        <v>0</v>
      </c>
      <c r="U204">
        <f t="shared" si="216"/>
        <v>9.5760000000000005</v>
      </c>
      <c r="V204">
        <f t="shared" si="217"/>
        <v>0</v>
      </c>
      <c r="W204">
        <f t="shared" si="218"/>
        <v>0</v>
      </c>
      <c r="X204">
        <f t="shared" si="219"/>
        <v>390.93</v>
      </c>
      <c r="Y204">
        <f t="shared" si="220"/>
        <v>250.6</v>
      </c>
      <c r="AA204">
        <v>16808636</v>
      </c>
      <c r="AB204">
        <f t="shared" si="221"/>
        <v>933.66</v>
      </c>
      <c r="AC204">
        <f t="shared" si="222"/>
        <v>0</v>
      </c>
      <c r="AD204">
        <f>ROUND((((ET204)-(EU204))+AE204),2)</f>
        <v>0</v>
      </c>
      <c r="AE204">
        <f>ROUND((EU204),2)</f>
        <v>0</v>
      </c>
      <c r="AF204">
        <f>ROUND((EV204),2)</f>
        <v>933.66</v>
      </c>
      <c r="AG204">
        <f t="shared" si="224"/>
        <v>0</v>
      </c>
      <c r="AH204">
        <f>(EW204)</f>
        <v>119.7</v>
      </c>
      <c r="AI204">
        <f>(EX204)</f>
        <v>0</v>
      </c>
      <c r="AJ204">
        <f t="shared" si="226"/>
        <v>0</v>
      </c>
      <c r="AK204">
        <v>933.66</v>
      </c>
      <c r="AL204">
        <v>0</v>
      </c>
      <c r="AM204">
        <v>0</v>
      </c>
      <c r="AN204">
        <v>0</v>
      </c>
      <c r="AO204">
        <v>933.66</v>
      </c>
      <c r="AP204">
        <v>0</v>
      </c>
      <c r="AQ204">
        <v>119.7</v>
      </c>
      <c r="AR204">
        <v>0</v>
      </c>
      <c r="AS204">
        <v>0</v>
      </c>
      <c r="AT204">
        <v>78</v>
      </c>
      <c r="AU204">
        <v>50</v>
      </c>
      <c r="AV204">
        <v>1</v>
      </c>
      <c r="AW204">
        <v>1</v>
      </c>
      <c r="AZ204">
        <v>6.71</v>
      </c>
      <c r="BA204">
        <v>6.71</v>
      </c>
      <c r="BB204">
        <v>6.71</v>
      </c>
      <c r="BC204">
        <v>6.71</v>
      </c>
      <c r="BD204" t="s">
        <v>6</v>
      </c>
      <c r="BE204" t="s">
        <v>6</v>
      </c>
      <c r="BF204" t="s">
        <v>6</v>
      </c>
      <c r="BG204" t="s">
        <v>6</v>
      </c>
      <c r="BH204">
        <v>0</v>
      </c>
      <c r="BI204">
        <v>1</v>
      </c>
      <c r="BJ204" t="s">
        <v>517</v>
      </c>
      <c r="BM204">
        <v>69001</v>
      </c>
      <c r="BN204">
        <v>0</v>
      </c>
      <c r="BO204" t="s">
        <v>6</v>
      </c>
      <c r="BP204">
        <v>0</v>
      </c>
      <c r="BQ204">
        <v>6</v>
      </c>
      <c r="BR204">
        <v>0</v>
      </c>
      <c r="BS204">
        <v>6.71</v>
      </c>
      <c r="BT204">
        <v>1</v>
      </c>
      <c r="BU204">
        <v>1</v>
      </c>
      <c r="BV204">
        <v>1</v>
      </c>
      <c r="BW204">
        <v>1</v>
      </c>
      <c r="BX204">
        <v>1</v>
      </c>
      <c r="BY204" t="s">
        <v>6</v>
      </c>
      <c r="BZ204">
        <v>78</v>
      </c>
      <c r="CA204">
        <v>50</v>
      </c>
      <c r="CE204">
        <v>0</v>
      </c>
      <c r="CF204">
        <v>0</v>
      </c>
      <c r="CG204">
        <v>0</v>
      </c>
      <c r="CM204">
        <v>0</v>
      </c>
      <c r="CN204" t="s">
        <v>6</v>
      </c>
      <c r="CO204">
        <v>0</v>
      </c>
      <c r="CP204">
        <f t="shared" si="227"/>
        <v>501.19</v>
      </c>
      <c r="CQ204">
        <f t="shared" si="228"/>
        <v>0</v>
      </c>
      <c r="CR204">
        <f t="shared" si="229"/>
        <v>0</v>
      </c>
      <c r="CS204">
        <f t="shared" si="230"/>
        <v>0</v>
      </c>
      <c r="CT204">
        <f t="shared" si="231"/>
        <v>6264.8585999999996</v>
      </c>
      <c r="CU204">
        <f t="shared" si="232"/>
        <v>0</v>
      </c>
      <c r="CV204">
        <f t="shared" si="233"/>
        <v>119.7</v>
      </c>
      <c r="CW204">
        <f t="shared" si="234"/>
        <v>0</v>
      </c>
      <c r="CX204">
        <f t="shared" si="235"/>
        <v>0</v>
      </c>
      <c r="CY204">
        <f t="shared" si="236"/>
        <v>390.9282</v>
      </c>
      <c r="CZ204">
        <f t="shared" si="237"/>
        <v>250.595</v>
      </c>
      <c r="DC204" t="s">
        <v>6</v>
      </c>
      <c r="DD204" t="s">
        <v>6</v>
      </c>
      <c r="DE204" t="s">
        <v>6</v>
      </c>
      <c r="DF204" t="s">
        <v>6</v>
      </c>
      <c r="DG204" t="s">
        <v>6</v>
      </c>
      <c r="DH204" t="s">
        <v>6</v>
      </c>
      <c r="DI204" t="s">
        <v>6</v>
      </c>
      <c r="DJ204" t="s">
        <v>6</v>
      </c>
      <c r="DK204" t="s">
        <v>6</v>
      </c>
      <c r="DL204" t="s">
        <v>6</v>
      </c>
      <c r="DM204" t="s">
        <v>6</v>
      </c>
      <c r="DN204">
        <v>0</v>
      </c>
      <c r="DO204">
        <v>0</v>
      </c>
      <c r="DP204">
        <v>1</v>
      </c>
      <c r="DQ204">
        <v>1</v>
      </c>
      <c r="DU204">
        <v>1013</v>
      </c>
      <c r="DV204" t="s">
        <v>28</v>
      </c>
      <c r="DW204" t="s">
        <v>28</v>
      </c>
      <c r="DX204">
        <v>1</v>
      </c>
      <c r="EE204">
        <v>16510614</v>
      </c>
      <c r="EF204">
        <v>6</v>
      </c>
      <c r="EG204" t="s">
        <v>30</v>
      </c>
      <c r="EH204">
        <v>0</v>
      </c>
      <c r="EI204" t="s">
        <v>6</v>
      </c>
      <c r="EJ204">
        <v>1</v>
      </c>
      <c r="EK204">
        <v>69001</v>
      </c>
      <c r="EL204" t="s">
        <v>518</v>
      </c>
      <c r="EM204" t="s">
        <v>519</v>
      </c>
      <c r="EO204" t="s">
        <v>6</v>
      </c>
      <c r="EQ204">
        <v>131072</v>
      </c>
      <c r="ER204">
        <v>933.66</v>
      </c>
      <c r="ES204">
        <v>0</v>
      </c>
      <c r="ET204">
        <v>0</v>
      </c>
      <c r="EU204">
        <v>0</v>
      </c>
      <c r="EV204">
        <v>933.66</v>
      </c>
      <c r="EW204">
        <v>119.7</v>
      </c>
      <c r="EX204">
        <v>0</v>
      </c>
      <c r="EY204">
        <v>0</v>
      </c>
      <c r="FQ204">
        <v>0</v>
      </c>
      <c r="FR204">
        <f t="shared" si="238"/>
        <v>0</v>
      </c>
      <c r="FS204">
        <v>0</v>
      </c>
      <c r="FX204">
        <v>78</v>
      </c>
      <c r="FY204">
        <v>50</v>
      </c>
      <c r="GA204" t="s">
        <v>6</v>
      </c>
      <c r="GD204">
        <v>0</v>
      </c>
      <c r="GF204">
        <v>-1279135088</v>
      </c>
      <c r="GG204">
        <v>1</v>
      </c>
      <c r="GH204">
        <v>1</v>
      </c>
      <c r="GI204">
        <v>4</v>
      </c>
      <c r="GJ204">
        <v>0</v>
      </c>
      <c r="GK204">
        <f>ROUND(R204*(R12)/100,2)</f>
        <v>0</v>
      </c>
      <c r="GL204">
        <f t="shared" si="239"/>
        <v>0</v>
      </c>
      <c r="GM204">
        <f t="shared" si="240"/>
        <v>1142.72</v>
      </c>
      <c r="GN204">
        <f t="shared" si="241"/>
        <v>1142.72</v>
      </c>
      <c r="GO204">
        <f t="shared" si="242"/>
        <v>0</v>
      </c>
      <c r="GP204">
        <f t="shared" si="243"/>
        <v>0</v>
      </c>
      <c r="GR204">
        <v>0</v>
      </c>
      <c r="GS204">
        <v>0</v>
      </c>
      <c r="GT204">
        <v>0</v>
      </c>
      <c r="GU204" t="s">
        <v>6</v>
      </c>
      <c r="GV204">
        <f t="shared" si="244"/>
        <v>0</v>
      </c>
      <c r="GW204">
        <v>1</v>
      </c>
      <c r="GX204">
        <f t="shared" si="245"/>
        <v>0</v>
      </c>
      <c r="HA204">
        <v>0</v>
      </c>
      <c r="HB204">
        <v>0</v>
      </c>
      <c r="HC204">
        <f t="shared" si="246"/>
        <v>0</v>
      </c>
      <c r="IK204">
        <v>0</v>
      </c>
    </row>
    <row r="205" spans="1:245" x14ac:dyDescent="0.2">
      <c r="A205">
        <v>17</v>
      </c>
      <c r="B205">
        <v>1</v>
      </c>
      <c r="C205">
        <f>ROW(SmtRes!A322)</f>
        <v>322</v>
      </c>
      <c r="D205">
        <f>ROW(EtalonRes!A296)</f>
        <v>296</v>
      </c>
      <c r="E205" t="s">
        <v>520</v>
      </c>
      <c r="F205" t="s">
        <v>521</v>
      </c>
      <c r="G205" t="s">
        <v>522</v>
      </c>
      <c r="H205" t="s">
        <v>40</v>
      </c>
      <c r="I205">
        <f>ROUND(2.4/100,9)</f>
        <v>2.4E-2</v>
      </c>
      <c r="J205">
        <v>0</v>
      </c>
      <c r="O205">
        <f t="shared" si="210"/>
        <v>44.1</v>
      </c>
      <c r="P205">
        <f t="shared" si="211"/>
        <v>3.04</v>
      </c>
      <c r="Q205">
        <f t="shared" si="212"/>
        <v>6.47</v>
      </c>
      <c r="R205">
        <f t="shared" si="213"/>
        <v>0.44</v>
      </c>
      <c r="S205">
        <f t="shared" si="214"/>
        <v>34.590000000000003</v>
      </c>
      <c r="T205">
        <f t="shared" si="215"/>
        <v>0</v>
      </c>
      <c r="U205">
        <f t="shared" si="216"/>
        <v>0.54835199999999995</v>
      </c>
      <c r="V205">
        <f t="shared" si="217"/>
        <v>5.1840000000000002E-3</v>
      </c>
      <c r="W205">
        <f t="shared" si="218"/>
        <v>0</v>
      </c>
      <c r="X205">
        <f t="shared" si="219"/>
        <v>33.28</v>
      </c>
      <c r="Y205">
        <f t="shared" si="220"/>
        <v>22.77</v>
      </c>
      <c r="AA205">
        <v>16808636</v>
      </c>
      <c r="AB205">
        <f t="shared" si="221"/>
        <v>273.86</v>
      </c>
      <c r="AC205">
        <f t="shared" si="222"/>
        <v>18.89</v>
      </c>
      <c r="AD205">
        <f>ROUND(((((ET205*1.2))-((EU205*1.2)))+AE205),2)</f>
        <v>40.19</v>
      </c>
      <c r="AE205">
        <f>ROUND(((EU205*1.2)),2)</f>
        <v>2.71</v>
      </c>
      <c r="AF205">
        <f>ROUND(((EV205*1.2)),2)</f>
        <v>214.78</v>
      </c>
      <c r="AG205">
        <f t="shared" si="224"/>
        <v>0</v>
      </c>
      <c r="AH205">
        <f>((EW205*1.2))</f>
        <v>22.847999999999999</v>
      </c>
      <c r="AI205">
        <f>((EX205*1.2))</f>
        <v>0.216</v>
      </c>
      <c r="AJ205">
        <f t="shared" si="226"/>
        <v>0</v>
      </c>
      <c r="AK205">
        <v>231.36</v>
      </c>
      <c r="AL205">
        <v>18.89</v>
      </c>
      <c r="AM205">
        <v>33.49</v>
      </c>
      <c r="AN205">
        <v>2.2599999999999998</v>
      </c>
      <c r="AO205">
        <v>178.98</v>
      </c>
      <c r="AP205">
        <v>0</v>
      </c>
      <c r="AQ205">
        <v>19.04</v>
      </c>
      <c r="AR205">
        <v>0.18</v>
      </c>
      <c r="AS205">
        <v>0</v>
      </c>
      <c r="AT205">
        <v>95</v>
      </c>
      <c r="AU205">
        <v>65</v>
      </c>
      <c r="AV205">
        <v>1</v>
      </c>
      <c r="AW205">
        <v>1</v>
      </c>
      <c r="AZ205">
        <v>6.71</v>
      </c>
      <c r="BA205">
        <v>6.71</v>
      </c>
      <c r="BB205">
        <v>6.71</v>
      </c>
      <c r="BC205">
        <v>6.71</v>
      </c>
      <c r="BD205" t="s">
        <v>6</v>
      </c>
      <c r="BE205" t="s">
        <v>6</v>
      </c>
      <c r="BF205" t="s">
        <v>6</v>
      </c>
      <c r="BG205" t="s">
        <v>6</v>
      </c>
      <c r="BH205">
        <v>0</v>
      </c>
      <c r="BI205">
        <v>2</v>
      </c>
      <c r="BJ205" t="s">
        <v>523</v>
      </c>
      <c r="BM205">
        <v>108001</v>
      </c>
      <c r="BN205">
        <v>0</v>
      </c>
      <c r="BO205" t="s">
        <v>6</v>
      </c>
      <c r="BP205">
        <v>0</v>
      </c>
      <c r="BQ205">
        <v>3</v>
      </c>
      <c r="BR205">
        <v>0</v>
      </c>
      <c r="BS205">
        <v>6.71</v>
      </c>
      <c r="BT205">
        <v>1</v>
      </c>
      <c r="BU205">
        <v>1</v>
      </c>
      <c r="BV205">
        <v>1</v>
      </c>
      <c r="BW205">
        <v>1</v>
      </c>
      <c r="BX205">
        <v>1</v>
      </c>
      <c r="BY205" t="s">
        <v>6</v>
      </c>
      <c r="BZ205">
        <v>95</v>
      </c>
      <c r="CA205">
        <v>65</v>
      </c>
      <c r="CE205">
        <v>0</v>
      </c>
      <c r="CF205">
        <v>0</v>
      </c>
      <c r="CG205">
        <v>0</v>
      </c>
      <c r="CM205">
        <v>0</v>
      </c>
      <c r="CN205" t="s">
        <v>1058</v>
      </c>
      <c r="CO205">
        <v>0</v>
      </c>
      <c r="CP205">
        <f t="shared" si="227"/>
        <v>44.1</v>
      </c>
      <c r="CQ205">
        <f t="shared" si="228"/>
        <v>126.75190000000001</v>
      </c>
      <c r="CR205">
        <f t="shared" si="229"/>
        <v>269.67489999999998</v>
      </c>
      <c r="CS205">
        <f t="shared" si="230"/>
        <v>18.184100000000001</v>
      </c>
      <c r="CT205">
        <f t="shared" si="231"/>
        <v>1441.1738</v>
      </c>
      <c r="CU205">
        <f t="shared" si="232"/>
        <v>0</v>
      </c>
      <c r="CV205">
        <f t="shared" si="233"/>
        <v>22.847999999999999</v>
      </c>
      <c r="CW205">
        <f t="shared" si="234"/>
        <v>0.216</v>
      </c>
      <c r="CX205">
        <f t="shared" si="235"/>
        <v>0</v>
      </c>
      <c r="CY205">
        <f t="shared" si="236"/>
        <v>33.278500000000001</v>
      </c>
      <c r="CZ205">
        <f t="shared" si="237"/>
        <v>22.769500000000004</v>
      </c>
      <c r="DC205" t="s">
        <v>6</v>
      </c>
      <c r="DD205" t="s">
        <v>6</v>
      </c>
      <c r="DE205" t="s">
        <v>443</v>
      </c>
      <c r="DF205" t="s">
        <v>443</v>
      </c>
      <c r="DG205" t="s">
        <v>443</v>
      </c>
      <c r="DH205" t="s">
        <v>6</v>
      </c>
      <c r="DI205" t="s">
        <v>443</v>
      </c>
      <c r="DJ205" t="s">
        <v>443</v>
      </c>
      <c r="DK205" t="s">
        <v>6</v>
      </c>
      <c r="DL205" t="s">
        <v>6</v>
      </c>
      <c r="DM205" t="s">
        <v>6</v>
      </c>
      <c r="DN205">
        <v>0</v>
      </c>
      <c r="DO205">
        <v>0</v>
      </c>
      <c r="DP205">
        <v>1</v>
      </c>
      <c r="DQ205">
        <v>1</v>
      </c>
      <c r="DU205">
        <v>1003</v>
      </c>
      <c r="DV205" t="s">
        <v>40</v>
      </c>
      <c r="DW205" t="s">
        <v>40</v>
      </c>
      <c r="DX205">
        <v>100</v>
      </c>
      <c r="EE205">
        <v>16510370</v>
      </c>
      <c r="EF205">
        <v>3</v>
      </c>
      <c r="EG205" t="s">
        <v>50</v>
      </c>
      <c r="EH205">
        <v>0</v>
      </c>
      <c r="EI205" t="s">
        <v>6</v>
      </c>
      <c r="EJ205">
        <v>2</v>
      </c>
      <c r="EK205">
        <v>108001</v>
      </c>
      <c r="EL205" t="s">
        <v>51</v>
      </c>
      <c r="EM205" t="s">
        <v>52</v>
      </c>
      <c r="EO205" t="s">
        <v>524</v>
      </c>
      <c r="EQ205">
        <v>131072</v>
      </c>
      <c r="ER205">
        <v>231.36</v>
      </c>
      <c r="ES205">
        <v>18.89</v>
      </c>
      <c r="ET205">
        <v>33.49</v>
      </c>
      <c r="EU205">
        <v>2.2599999999999998</v>
      </c>
      <c r="EV205">
        <v>178.98</v>
      </c>
      <c r="EW205">
        <v>19.04</v>
      </c>
      <c r="EX205">
        <v>0.18</v>
      </c>
      <c r="EY205">
        <v>0</v>
      </c>
      <c r="FQ205">
        <v>0</v>
      </c>
      <c r="FR205">
        <f t="shared" si="238"/>
        <v>0</v>
      </c>
      <c r="FS205">
        <v>0</v>
      </c>
      <c r="FX205">
        <v>95</v>
      </c>
      <c r="FY205">
        <v>65</v>
      </c>
      <c r="GA205" t="s">
        <v>6</v>
      </c>
      <c r="GD205">
        <v>0</v>
      </c>
      <c r="GF205">
        <v>-425438205</v>
      </c>
      <c r="GG205">
        <v>1</v>
      </c>
      <c r="GH205">
        <v>1</v>
      </c>
      <c r="GI205">
        <v>4</v>
      </c>
      <c r="GJ205">
        <v>0</v>
      </c>
      <c r="GK205">
        <f>ROUND(R205*(R12)/100,2)</f>
        <v>0</v>
      </c>
      <c r="GL205">
        <f t="shared" si="239"/>
        <v>0</v>
      </c>
      <c r="GM205">
        <f t="shared" si="240"/>
        <v>100.15</v>
      </c>
      <c r="GN205">
        <f t="shared" si="241"/>
        <v>0</v>
      </c>
      <c r="GO205">
        <f t="shared" si="242"/>
        <v>100.15</v>
      </c>
      <c r="GP205">
        <f t="shared" si="243"/>
        <v>0</v>
      </c>
      <c r="GR205">
        <v>0</v>
      </c>
      <c r="GS205">
        <v>0</v>
      </c>
      <c r="GT205">
        <v>0</v>
      </c>
      <c r="GU205" t="s">
        <v>6</v>
      </c>
      <c r="GV205">
        <f t="shared" si="244"/>
        <v>0</v>
      </c>
      <c r="GW205">
        <v>1</v>
      </c>
      <c r="GX205">
        <f t="shared" si="245"/>
        <v>0</v>
      </c>
      <c r="HA205">
        <v>0</v>
      </c>
      <c r="HB205">
        <v>0</v>
      </c>
      <c r="HC205">
        <f t="shared" si="246"/>
        <v>0</v>
      </c>
      <c r="IK205">
        <v>0</v>
      </c>
    </row>
    <row r="206" spans="1:245" x14ac:dyDescent="0.2">
      <c r="A206">
        <v>18</v>
      </c>
      <c r="B206">
        <v>1</v>
      </c>
      <c r="C206">
        <v>321</v>
      </c>
      <c r="E206" t="s">
        <v>525</v>
      </c>
      <c r="F206" t="s">
        <v>526</v>
      </c>
      <c r="G206" t="s">
        <v>527</v>
      </c>
      <c r="H206" t="s">
        <v>454</v>
      </c>
      <c r="I206">
        <f>I205*J206</f>
        <v>0.24</v>
      </c>
      <c r="J206">
        <v>10</v>
      </c>
      <c r="O206">
        <f t="shared" si="210"/>
        <v>139.72</v>
      </c>
      <c r="P206">
        <f t="shared" si="211"/>
        <v>139.72</v>
      </c>
      <c r="Q206">
        <f t="shared" si="212"/>
        <v>0</v>
      </c>
      <c r="R206">
        <f t="shared" si="213"/>
        <v>0</v>
      </c>
      <c r="S206">
        <f t="shared" si="214"/>
        <v>0</v>
      </c>
      <c r="T206">
        <f t="shared" si="215"/>
        <v>0</v>
      </c>
      <c r="U206">
        <f t="shared" si="216"/>
        <v>0</v>
      </c>
      <c r="V206">
        <f t="shared" si="217"/>
        <v>0</v>
      </c>
      <c r="W206">
        <f t="shared" si="218"/>
        <v>0</v>
      </c>
      <c r="X206">
        <f t="shared" si="219"/>
        <v>0</v>
      </c>
      <c r="Y206">
        <f t="shared" si="220"/>
        <v>0</v>
      </c>
      <c r="AA206">
        <v>16808636</v>
      </c>
      <c r="AB206">
        <f t="shared" si="221"/>
        <v>86.76</v>
      </c>
      <c r="AC206">
        <f t="shared" si="222"/>
        <v>86.76</v>
      </c>
      <c r="AD206">
        <f>ROUND((((ET206)-(EU206))+AE206),2)</f>
        <v>0</v>
      </c>
      <c r="AE206">
        <f>ROUND((EU206),2)</f>
        <v>0</v>
      </c>
      <c r="AF206">
        <f>ROUND((EV206),2)</f>
        <v>0</v>
      </c>
      <c r="AG206">
        <f t="shared" si="224"/>
        <v>0</v>
      </c>
      <c r="AH206">
        <f>(EW206)</f>
        <v>0</v>
      </c>
      <c r="AI206">
        <f>(EX206)</f>
        <v>0</v>
      </c>
      <c r="AJ206">
        <f t="shared" si="226"/>
        <v>0</v>
      </c>
      <c r="AK206">
        <v>86.76</v>
      </c>
      <c r="AL206">
        <v>86.76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95</v>
      </c>
      <c r="AU206">
        <v>65</v>
      </c>
      <c r="AV206">
        <v>1</v>
      </c>
      <c r="AW206">
        <v>1</v>
      </c>
      <c r="AZ206">
        <v>6.71</v>
      </c>
      <c r="BA206">
        <v>1</v>
      </c>
      <c r="BB206">
        <v>1</v>
      </c>
      <c r="BC206">
        <v>6.71</v>
      </c>
      <c r="BD206" t="s">
        <v>6</v>
      </c>
      <c r="BE206" t="s">
        <v>6</v>
      </c>
      <c r="BF206" t="s">
        <v>6</v>
      </c>
      <c r="BG206" t="s">
        <v>6</v>
      </c>
      <c r="BH206">
        <v>3</v>
      </c>
      <c r="BI206">
        <v>2</v>
      </c>
      <c r="BJ206" t="s">
        <v>528</v>
      </c>
      <c r="BM206">
        <v>108001</v>
      </c>
      <c r="BN206">
        <v>0</v>
      </c>
      <c r="BO206" t="s">
        <v>6</v>
      </c>
      <c r="BP206">
        <v>0</v>
      </c>
      <c r="BQ206">
        <v>3</v>
      </c>
      <c r="BR206">
        <v>0</v>
      </c>
      <c r="BS206">
        <v>1</v>
      </c>
      <c r="BT206">
        <v>1</v>
      </c>
      <c r="BU206">
        <v>1</v>
      </c>
      <c r="BV206">
        <v>1</v>
      </c>
      <c r="BW206">
        <v>1</v>
      </c>
      <c r="BX206">
        <v>1</v>
      </c>
      <c r="BY206" t="s">
        <v>6</v>
      </c>
      <c r="BZ206">
        <v>95</v>
      </c>
      <c r="CA206">
        <v>65</v>
      </c>
      <c r="CE206">
        <v>0</v>
      </c>
      <c r="CF206">
        <v>0</v>
      </c>
      <c r="CG206">
        <v>0</v>
      </c>
      <c r="CM206">
        <v>0</v>
      </c>
      <c r="CN206" t="s">
        <v>6</v>
      </c>
      <c r="CO206">
        <v>0</v>
      </c>
      <c r="CP206">
        <f t="shared" si="227"/>
        <v>139.72</v>
      </c>
      <c r="CQ206">
        <f t="shared" si="228"/>
        <v>582.15960000000007</v>
      </c>
      <c r="CR206">
        <f t="shared" si="229"/>
        <v>0</v>
      </c>
      <c r="CS206">
        <f t="shared" si="230"/>
        <v>0</v>
      </c>
      <c r="CT206">
        <f t="shared" si="231"/>
        <v>0</v>
      </c>
      <c r="CU206">
        <f t="shared" si="232"/>
        <v>0</v>
      </c>
      <c r="CV206">
        <f t="shared" si="233"/>
        <v>0</v>
      </c>
      <c r="CW206">
        <f t="shared" si="234"/>
        <v>0</v>
      </c>
      <c r="CX206">
        <f t="shared" si="235"/>
        <v>0</v>
      </c>
      <c r="CY206">
        <f t="shared" si="236"/>
        <v>0</v>
      </c>
      <c r="CZ206">
        <f t="shared" si="237"/>
        <v>0</v>
      </c>
      <c r="DC206" t="s">
        <v>6</v>
      </c>
      <c r="DD206" t="s">
        <v>6</v>
      </c>
      <c r="DE206" t="s">
        <v>6</v>
      </c>
      <c r="DF206" t="s">
        <v>6</v>
      </c>
      <c r="DG206" t="s">
        <v>6</v>
      </c>
      <c r="DH206" t="s">
        <v>6</v>
      </c>
      <c r="DI206" t="s">
        <v>6</v>
      </c>
      <c r="DJ206" t="s">
        <v>6</v>
      </c>
      <c r="DK206" t="s">
        <v>6</v>
      </c>
      <c r="DL206" t="s">
        <v>6</v>
      </c>
      <c r="DM206" t="s">
        <v>6</v>
      </c>
      <c r="DN206">
        <v>0</v>
      </c>
      <c r="DO206">
        <v>0</v>
      </c>
      <c r="DP206">
        <v>1</v>
      </c>
      <c r="DQ206">
        <v>1</v>
      </c>
      <c r="DU206">
        <v>1003</v>
      </c>
      <c r="DV206" t="s">
        <v>454</v>
      </c>
      <c r="DW206" t="s">
        <v>454</v>
      </c>
      <c r="DX206">
        <v>10</v>
      </c>
      <c r="EE206">
        <v>16510370</v>
      </c>
      <c r="EF206">
        <v>3</v>
      </c>
      <c r="EG206" t="s">
        <v>50</v>
      </c>
      <c r="EH206">
        <v>0</v>
      </c>
      <c r="EI206" t="s">
        <v>6</v>
      </c>
      <c r="EJ206">
        <v>2</v>
      </c>
      <c r="EK206">
        <v>108001</v>
      </c>
      <c r="EL206" t="s">
        <v>51</v>
      </c>
      <c r="EM206" t="s">
        <v>52</v>
      </c>
      <c r="EO206" t="s">
        <v>6</v>
      </c>
      <c r="EQ206">
        <v>0</v>
      </c>
      <c r="ER206">
        <v>86.76</v>
      </c>
      <c r="ES206">
        <v>86.76</v>
      </c>
      <c r="ET206">
        <v>0</v>
      </c>
      <c r="EU206">
        <v>0</v>
      </c>
      <c r="EV206">
        <v>0</v>
      </c>
      <c r="EW206">
        <v>0</v>
      </c>
      <c r="EX206">
        <v>0</v>
      </c>
      <c r="FQ206">
        <v>0</v>
      </c>
      <c r="FR206">
        <f t="shared" si="238"/>
        <v>0</v>
      </c>
      <c r="FS206">
        <v>0</v>
      </c>
      <c r="FX206">
        <v>95</v>
      </c>
      <c r="FY206">
        <v>65</v>
      </c>
      <c r="GA206" t="s">
        <v>6</v>
      </c>
      <c r="GD206">
        <v>0</v>
      </c>
      <c r="GF206">
        <v>77186882</v>
      </c>
      <c r="GG206">
        <v>1</v>
      </c>
      <c r="GH206">
        <v>1</v>
      </c>
      <c r="GI206">
        <v>4</v>
      </c>
      <c r="GJ206">
        <v>0</v>
      </c>
      <c r="GK206">
        <f>ROUND(R206*(R12)/100,2)</f>
        <v>0</v>
      </c>
      <c r="GL206">
        <f t="shared" si="239"/>
        <v>0</v>
      </c>
      <c r="GM206">
        <f t="shared" si="240"/>
        <v>139.72</v>
      </c>
      <c r="GN206">
        <f t="shared" si="241"/>
        <v>0</v>
      </c>
      <c r="GO206">
        <f t="shared" si="242"/>
        <v>139.72</v>
      </c>
      <c r="GP206">
        <f t="shared" si="243"/>
        <v>0</v>
      </c>
      <c r="GR206">
        <v>0</v>
      </c>
      <c r="GS206">
        <v>3</v>
      </c>
      <c r="GT206">
        <v>0</v>
      </c>
      <c r="GU206" t="s">
        <v>6</v>
      </c>
      <c r="GV206">
        <f t="shared" si="244"/>
        <v>0</v>
      </c>
      <c r="GW206">
        <v>1</v>
      </c>
      <c r="GX206">
        <f t="shared" si="245"/>
        <v>0</v>
      </c>
      <c r="HA206">
        <v>0</v>
      </c>
      <c r="HB206">
        <v>0</v>
      </c>
      <c r="HC206">
        <f t="shared" si="246"/>
        <v>0</v>
      </c>
      <c r="IK206">
        <v>0</v>
      </c>
    </row>
    <row r="207" spans="1:245" x14ac:dyDescent="0.2">
      <c r="A207">
        <v>17</v>
      </c>
      <c r="B207">
        <v>1</v>
      </c>
      <c r="C207">
        <f>ROW(SmtRes!A329)</f>
        <v>329</v>
      </c>
      <c r="D207">
        <f>ROW(EtalonRes!A303)</f>
        <v>303</v>
      </c>
      <c r="E207" t="s">
        <v>529</v>
      </c>
      <c r="F207" t="s">
        <v>530</v>
      </c>
      <c r="G207" t="s">
        <v>531</v>
      </c>
      <c r="H207" t="s">
        <v>28</v>
      </c>
      <c r="I207">
        <f>ROUND(48/100,9)</f>
        <v>0.48</v>
      </c>
      <c r="J207">
        <v>0</v>
      </c>
      <c r="O207">
        <f t="shared" si="210"/>
        <v>6337.7</v>
      </c>
      <c r="P207">
        <f t="shared" si="211"/>
        <v>457.26</v>
      </c>
      <c r="Q207">
        <f t="shared" si="212"/>
        <v>206.07</v>
      </c>
      <c r="R207">
        <f t="shared" si="213"/>
        <v>29.12</v>
      </c>
      <c r="S207">
        <f t="shared" si="214"/>
        <v>5674.37</v>
      </c>
      <c r="T207">
        <f t="shared" si="215"/>
        <v>0</v>
      </c>
      <c r="U207">
        <f t="shared" si="216"/>
        <v>85.24799999999999</v>
      </c>
      <c r="V207">
        <f t="shared" si="217"/>
        <v>0.34559999999999996</v>
      </c>
      <c r="W207">
        <f t="shared" si="218"/>
        <v>0</v>
      </c>
      <c r="X207">
        <f t="shared" si="219"/>
        <v>5418.32</v>
      </c>
      <c r="Y207">
        <f t="shared" si="220"/>
        <v>3707.27</v>
      </c>
      <c r="AA207">
        <v>16808636</v>
      </c>
      <c r="AB207">
        <f t="shared" si="221"/>
        <v>1967.74</v>
      </c>
      <c r="AC207">
        <f t="shared" si="222"/>
        <v>141.97</v>
      </c>
      <c r="AD207">
        <f>ROUND(((((ET207*1.2))-((EU207*1.2)))+AE207),2)</f>
        <v>63.98</v>
      </c>
      <c r="AE207">
        <f>ROUND(((EU207*1.2)),2)</f>
        <v>9.0399999999999991</v>
      </c>
      <c r="AF207">
        <f>ROUND(((EV207*1.2)),2)</f>
        <v>1761.79</v>
      </c>
      <c r="AG207">
        <f t="shared" si="224"/>
        <v>0</v>
      </c>
      <c r="AH207">
        <f>((EW207*1.2))</f>
        <v>177.6</v>
      </c>
      <c r="AI207">
        <f>((EX207*1.2))</f>
        <v>0.72</v>
      </c>
      <c r="AJ207">
        <f t="shared" si="226"/>
        <v>0</v>
      </c>
      <c r="AK207">
        <v>1663.44</v>
      </c>
      <c r="AL207">
        <v>141.97</v>
      </c>
      <c r="AM207">
        <v>53.31</v>
      </c>
      <c r="AN207">
        <v>7.53</v>
      </c>
      <c r="AO207">
        <v>1468.16</v>
      </c>
      <c r="AP207">
        <v>0</v>
      </c>
      <c r="AQ207">
        <v>148</v>
      </c>
      <c r="AR207">
        <v>0.6</v>
      </c>
      <c r="AS207">
        <v>0</v>
      </c>
      <c r="AT207">
        <v>95</v>
      </c>
      <c r="AU207">
        <v>65</v>
      </c>
      <c r="AV207">
        <v>1</v>
      </c>
      <c r="AW207">
        <v>1</v>
      </c>
      <c r="AZ207">
        <v>6.71</v>
      </c>
      <c r="BA207">
        <v>6.71</v>
      </c>
      <c r="BB207">
        <v>6.71</v>
      </c>
      <c r="BC207">
        <v>6.71</v>
      </c>
      <c r="BD207" t="s">
        <v>6</v>
      </c>
      <c r="BE207" t="s">
        <v>6</v>
      </c>
      <c r="BF207" t="s">
        <v>6</v>
      </c>
      <c r="BG207" t="s">
        <v>6</v>
      </c>
      <c r="BH207">
        <v>0</v>
      </c>
      <c r="BI207">
        <v>2</v>
      </c>
      <c r="BJ207" t="s">
        <v>532</v>
      </c>
      <c r="BM207">
        <v>108001</v>
      </c>
      <c r="BN207">
        <v>0</v>
      </c>
      <c r="BO207" t="s">
        <v>6</v>
      </c>
      <c r="BP207">
        <v>0</v>
      </c>
      <c r="BQ207">
        <v>3</v>
      </c>
      <c r="BR207">
        <v>0</v>
      </c>
      <c r="BS207">
        <v>6.71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6</v>
      </c>
      <c r="BZ207">
        <v>95</v>
      </c>
      <c r="CA207">
        <v>65</v>
      </c>
      <c r="CE207">
        <v>0</v>
      </c>
      <c r="CF207">
        <v>0</v>
      </c>
      <c r="CG207">
        <v>0</v>
      </c>
      <c r="CM207">
        <v>0</v>
      </c>
      <c r="CN207" t="s">
        <v>1058</v>
      </c>
      <c r="CO207">
        <v>0</v>
      </c>
      <c r="CP207">
        <f t="shared" si="227"/>
        <v>6337.7</v>
      </c>
      <c r="CQ207">
        <f t="shared" si="228"/>
        <v>952.61869999999999</v>
      </c>
      <c r="CR207">
        <f t="shared" si="229"/>
        <v>429.30579999999998</v>
      </c>
      <c r="CS207">
        <f t="shared" si="230"/>
        <v>60.658399999999993</v>
      </c>
      <c r="CT207">
        <f t="shared" si="231"/>
        <v>11821.6109</v>
      </c>
      <c r="CU207">
        <f t="shared" si="232"/>
        <v>0</v>
      </c>
      <c r="CV207">
        <f t="shared" si="233"/>
        <v>177.6</v>
      </c>
      <c r="CW207">
        <f t="shared" si="234"/>
        <v>0.72</v>
      </c>
      <c r="CX207">
        <f t="shared" si="235"/>
        <v>0</v>
      </c>
      <c r="CY207">
        <f t="shared" si="236"/>
        <v>5418.3154999999997</v>
      </c>
      <c r="CZ207">
        <f t="shared" si="237"/>
        <v>3707.2684999999997</v>
      </c>
      <c r="DC207" t="s">
        <v>6</v>
      </c>
      <c r="DD207" t="s">
        <v>6</v>
      </c>
      <c r="DE207" t="s">
        <v>443</v>
      </c>
      <c r="DF207" t="s">
        <v>443</v>
      </c>
      <c r="DG207" t="s">
        <v>443</v>
      </c>
      <c r="DH207" t="s">
        <v>6</v>
      </c>
      <c r="DI207" t="s">
        <v>443</v>
      </c>
      <c r="DJ207" t="s">
        <v>443</v>
      </c>
      <c r="DK207" t="s">
        <v>6</v>
      </c>
      <c r="DL207" t="s">
        <v>6</v>
      </c>
      <c r="DM207" t="s">
        <v>6</v>
      </c>
      <c r="DN207">
        <v>0</v>
      </c>
      <c r="DO207">
        <v>0</v>
      </c>
      <c r="DP207">
        <v>1</v>
      </c>
      <c r="DQ207">
        <v>1</v>
      </c>
      <c r="DU207">
        <v>1013</v>
      </c>
      <c r="DV207" t="s">
        <v>28</v>
      </c>
      <c r="DW207" t="s">
        <v>28</v>
      </c>
      <c r="DX207">
        <v>1</v>
      </c>
      <c r="EE207">
        <v>16510370</v>
      </c>
      <c r="EF207">
        <v>3</v>
      </c>
      <c r="EG207" t="s">
        <v>50</v>
      </c>
      <c r="EH207">
        <v>0</v>
      </c>
      <c r="EI207" t="s">
        <v>6</v>
      </c>
      <c r="EJ207">
        <v>2</v>
      </c>
      <c r="EK207">
        <v>108001</v>
      </c>
      <c r="EL207" t="s">
        <v>51</v>
      </c>
      <c r="EM207" t="s">
        <v>52</v>
      </c>
      <c r="EO207" t="s">
        <v>524</v>
      </c>
      <c r="EQ207">
        <v>131072</v>
      </c>
      <c r="ER207">
        <v>1663.44</v>
      </c>
      <c r="ES207">
        <v>141.97</v>
      </c>
      <c r="ET207">
        <v>53.31</v>
      </c>
      <c r="EU207">
        <v>7.53</v>
      </c>
      <c r="EV207">
        <v>1468.16</v>
      </c>
      <c r="EW207">
        <v>148</v>
      </c>
      <c r="EX207">
        <v>0.6</v>
      </c>
      <c r="EY207">
        <v>0</v>
      </c>
      <c r="FQ207">
        <v>0</v>
      </c>
      <c r="FR207">
        <f t="shared" si="238"/>
        <v>0</v>
      </c>
      <c r="FS207">
        <v>0</v>
      </c>
      <c r="FX207">
        <v>95</v>
      </c>
      <c r="FY207">
        <v>65</v>
      </c>
      <c r="GA207" t="s">
        <v>6</v>
      </c>
      <c r="GD207">
        <v>0</v>
      </c>
      <c r="GF207">
        <v>-1252048425</v>
      </c>
      <c r="GG207">
        <v>1</v>
      </c>
      <c r="GH207">
        <v>1</v>
      </c>
      <c r="GI207">
        <v>4</v>
      </c>
      <c r="GJ207">
        <v>0</v>
      </c>
      <c r="GK207">
        <f>ROUND(R207*(R12)/100,2)</f>
        <v>0</v>
      </c>
      <c r="GL207">
        <f t="shared" si="239"/>
        <v>0</v>
      </c>
      <c r="GM207">
        <f t="shared" si="240"/>
        <v>15463.29</v>
      </c>
      <c r="GN207">
        <f t="shared" si="241"/>
        <v>0</v>
      </c>
      <c r="GO207">
        <f t="shared" si="242"/>
        <v>15463.29</v>
      </c>
      <c r="GP207">
        <f t="shared" si="243"/>
        <v>0</v>
      </c>
      <c r="GR207">
        <v>0</v>
      </c>
      <c r="GS207">
        <v>0</v>
      </c>
      <c r="GT207">
        <v>0</v>
      </c>
      <c r="GU207" t="s">
        <v>6</v>
      </c>
      <c r="GV207">
        <f t="shared" si="244"/>
        <v>0</v>
      </c>
      <c r="GW207">
        <v>1</v>
      </c>
      <c r="GX207">
        <f t="shared" si="245"/>
        <v>0</v>
      </c>
      <c r="HA207">
        <v>0</v>
      </c>
      <c r="HB207">
        <v>0</v>
      </c>
      <c r="HC207">
        <f t="shared" si="246"/>
        <v>0</v>
      </c>
      <c r="IK207">
        <v>0</v>
      </c>
    </row>
    <row r="208" spans="1:245" x14ac:dyDescent="0.2">
      <c r="A208">
        <v>17</v>
      </c>
      <c r="B208">
        <v>1</v>
      </c>
      <c r="C208">
        <f>ROW(SmtRes!A338)</f>
        <v>338</v>
      </c>
      <c r="D208">
        <f>ROW(EtalonRes!A311)</f>
        <v>311</v>
      </c>
      <c r="E208" t="s">
        <v>533</v>
      </c>
      <c r="F208" t="s">
        <v>534</v>
      </c>
      <c r="G208" t="s">
        <v>535</v>
      </c>
      <c r="H208" t="s">
        <v>45</v>
      </c>
      <c r="I208">
        <v>8</v>
      </c>
      <c r="J208">
        <v>0</v>
      </c>
      <c r="O208">
        <f t="shared" si="210"/>
        <v>2086.0100000000002</v>
      </c>
      <c r="P208">
        <f t="shared" si="211"/>
        <v>332.82</v>
      </c>
      <c r="Q208">
        <f t="shared" si="212"/>
        <v>1144.46</v>
      </c>
      <c r="R208">
        <f t="shared" si="213"/>
        <v>161.58000000000001</v>
      </c>
      <c r="S208">
        <f t="shared" si="214"/>
        <v>608.73</v>
      </c>
      <c r="T208">
        <f t="shared" si="215"/>
        <v>0</v>
      </c>
      <c r="U208">
        <f t="shared" si="216"/>
        <v>8.64</v>
      </c>
      <c r="V208">
        <f t="shared" si="217"/>
        <v>1.92</v>
      </c>
      <c r="W208">
        <f t="shared" si="218"/>
        <v>0</v>
      </c>
      <c r="X208">
        <f t="shared" si="219"/>
        <v>731.79</v>
      </c>
      <c r="Y208">
        <f t="shared" si="220"/>
        <v>500.7</v>
      </c>
      <c r="AA208">
        <v>16808636</v>
      </c>
      <c r="AB208">
        <f t="shared" si="221"/>
        <v>38.86</v>
      </c>
      <c r="AC208">
        <f t="shared" si="222"/>
        <v>6.2</v>
      </c>
      <c r="AD208">
        <f>ROUND(((((ET208*1.2))-((EU208*1.2)))+AE208),2)</f>
        <v>21.32</v>
      </c>
      <c r="AE208">
        <f>ROUND(((EU208*1.2)),2)</f>
        <v>3.01</v>
      </c>
      <c r="AF208">
        <f>ROUND(((EV208*1.2)),2)</f>
        <v>11.34</v>
      </c>
      <c r="AG208">
        <f t="shared" si="224"/>
        <v>0</v>
      </c>
      <c r="AH208">
        <f>((EW208*1.2))</f>
        <v>1.08</v>
      </c>
      <c r="AI208">
        <f>((EX208*1.2))</f>
        <v>0.24</v>
      </c>
      <c r="AJ208">
        <f t="shared" si="226"/>
        <v>0</v>
      </c>
      <c r="AK208">
        <v>33.42</v>
      </c>
      <c r="AL208">
        <v>6.2</v>
      </c>
      <c r="AM208">
        <v>17.77</v>
      </c>
      <c r="AN208">
        <v>2.5099999999999998</v>
      </c>
      <c r="AO208">
        <v>9.4499999999999993</v>
      </c>
      <c r="AP208">
        <v>0</v>
      </c>
      <c r="AQ208">
        <v>0.9</v>
      </c>
      <c r="AR208">
        <v>0.2</v>
      </c>
      <c r="AS208">
        <v>0</v>
      </c>
      <c r="AT208">
        <v>95</v>
      </c>
      <c r="AU208">
        <v>65</v>
      </c>
      <c r="AV208">
        <v>1</v>
      </c>
      <c r="AW208">
        <v>1</v>
      </c>
      <c r="AZ208">
        <v>6.71</v>
      </c>
      <c r="BA208">
        <v>6.71</v>
      </c>
      <c r="BB208">
        <v>6.71</v>
      </c>
      <c r="BC208">
        <v>6.71</v>
      </c>
      <c r="BD208" t="s">
        <v>6</v>
      </c>
      <c r="BE208" t="s">
        <v>6</v>
      </c>
      <c r="BF208" t="s">
        <v>6</v>
      </c>
      <c r="BG208" t="s">
        <v>6</v>
      </c>
      <c r="BH208">
        <v>0</v>
      </c>
      <c r="BI208">
        <v>2</v>
      </c>
      <c r="BJ208" t="s">
        <v>46</v>
      </c>
      <c r="BM208">
        <v>108001</v>
      </c>
      <c r="BN208">
        <v>0</v>
      </c>
      <c r="BO208" t="s">
        <v>6</v>
      </c>
      <c r="BP208">
        <v>0</v>
      </c>
      <c r="BQ208">
        <v>3</v>
      </c>
      <c r="BR208">
        <v>0</v>
      </c>
      <c r="BS208">
        <v>6.71</v>
      </c>
      <c r="BT208">
        <v>1</v>
      </c>
      <c r="BU208">
        <v>1</v>
      </c>
      <c r="BV208">
        <v>1</v>
      </c>
      <c r="BW208">
        <v>1</v>
      </c>
      <c r="BX208">
        <v>1</v>
      </c>
      <c r="BY208" t="s">
        <v>6</v>
      </c>
      <c r="BZ208">
        <v>95</v>
      </c>
      <c r="CA208">
        <v>65</v>
      </c>
      <c r="CE208">
        <v>0</v>
      </c>
      <c r="CF208">
        <v>0</v>
      </c>
      <c r="CG208">
        <v>0</v>
      </c>
      <c r="CM208">
        <v>0</v>
      </c>
      <c r="CN208" t="s">
        <v>442</v>
      </c>
      <c r="CO208">
        <v>0</v>
      </c>
      <c r="CP208">
        <f t="shared" si="227"/>
        <v>2086.0100000000002</v>
      </c>
      <c r="CQ208">
        <f t="shared" si="228"/>
        <v>41.602000000000004</v>
      </c>
      <c r="CR208">
        <f t="shared" si="229"/>
        <v>143.05719999999999</v>
      </c>
      <c r="CS208">
        <f t="shared" si="230"/>
        <v>20.197099999999999</v>
      </c>
      <c r="CT208">
        <f t="shared" si="231"/>
        <v>76.091399999999993</v>
      </c>
      <c r="CU208">
        <f t="shared" si="232"/>
        <v>0</v>
      </c>
      <c r="CV208">
        <f t="shared" si="233"/>
        <v>1.08</v>
      </c>
      <c r="CW208">
        <f t="shared" si="234"/>
        <v>0.24</v>
      </c>
      <c r="CX208">
        <f t="shared" si="235"/>
        <v>0</v>
      </c>
      <c r="CY208">
        <f t="shared" si="236"/>
        <v>731.79450000000008</v>
      </c>
      <c r="CZ208">
        <f t="shared" si="237"/>
        <v>500.70150000000001</v>
      </c>
      <c r="DC208" t="s">
        <v>6</v>
      </c>
      <c r="DD208" t="s">
        <v>6</v>
      </c>
      <c r="DE208" t="s">
        <v>443</v>
      </c>
      <c r="DF208" t="s">
        <v>443</v>
      </c>
      <c r="DG208" t="s">
        <v>443</v>
      </c>
      <c r="DH208" t="s">
        <v>6</v>
      </c>
      <c r="DI208" t="s">
        <v>443</v>
      </c>
      <c r="DJ208" t="s">
        <v>443</v>
      </c>
      <c r="DK208" t="s">
        <v>6</v>
      </c>
      <c r="DL208" t="s">
        <v>6</v>
      </c>
      <c r="DM208" t="s">
        <v>6</v>
      </c>
      <c r="DN208">
        <v>0</v>
      </c>
      <c r="DO208">
        <v>0</v>
      </c>
      <c r="DP208">
        <v>1</v>
      </c>
      <c r="DQ208">
        <v>1</v>
      </c>
      <c r="DU208">
        <v>1013</v>
      </c>
      <c r="DV208" t="s">
        <v>45</v>
      </c>
      <c r="DW208" t="s">
        <v>45</v>
      </c>
      <c r="DX208">
        <v>1</v>
      </c>
      <c r="EE208">
        <v>16510370</v>
      </c>
      <c r="EF208">
        <v>3</v>
      </c>
      <c r="EG208" t="s">
        <v>50</v>
      </c>
      <c r="EH208">
        <v>0</v>
      </c>
      <c r="EI208" t="s">
        <v>6</v>
      </c>
      <c r="EJ208">
        <v>2</v>
      </c>
      <c r="EK208">
        <v>108001</v>
      </c>
      <c r="EL208" t="s">
        <v>51</v>
      </c>
      <c r="EM208" t="s">
        <v>52</v>
      </c>
      <c r="EO208" t="s">
        <v>444</v>
      </c>
      <c r="EQ208">
        <v>131072</v>
      </c>
      <c r="ER208">
        <v>33.42</v>
      </c>
      <c r="ES208">
        <v>6.2</v>
      </c>
      <c r="ET208">
        <v>17.77</v>
      </c>
      <c r="EU208">
        <v>2.5099999999999998</v>
      </c>
      <c r="EV208">
        <v>9.4499999999999993</v>
      </c>
      <c r="EW208">
        <v>0.9</v>
      </c>
      <c r="EX208">
        <v>0.2</v>
      </c>
      <c r="EY208">
        <v>0</v>
      </c>
      <c r="FQ208">
        <v>0</v>
      </c>
      <c r="FR208">
        <f t="shared" si="238"/>
        <v>0</v>
      </c>
      <c r="FS208">
        <v>0</v>
      </c>
      <c r="FX208">
        <v>95</v>
      </c>
      <c r="FY208">
        <v>65</v>
      </c>
      <c r="GA208" t="s">
        <v>6</v>
      </c>
      <c r="GD208">
        <v>0</v>
      </c>
      <c r="GF208">
        <v>-459099496</v>
      </c>
      <c r="GG208">
        <v>1</v>
      </c>
      <c r="GH208">
        <v>1</v>
      </c>
      <c r="GI208">
        <v>4</v>
      </c>
      <c r="GJ208">
        <v>0</v>
      </c>
      <c r="GK208">
        <f>ROUND(R208*(R12)/100,2)</f>
        <v>0</v>
      </c>
      <c r="GL208">
        <f t="shared" si="239"/>
        <v>0</v>
      </c>
      <c r="GM208">
        <f t="shared" si="240"/>
        <v>3318.5</v>
      </c>
      <c r="GN208">
        <f t="shared" si="241"/>
        <v>0</v>
      </c>
      <c r="GO208">
        <f t="shared" si="242"/>
        <v>3318.5</v>
      </c>
      <c r="GP208">
        <f t="shared" si="243"/>
        <v>0</v>
      </c>
      <c r="GR208">
        <v>0</v>
      </c>
      <c r="GS208">
        <v>3</v>
      </c>
      <c r="GT208">
        <v>0</v>
      </c>
      <c r="GU208" t="s">
        <v>6</v>
      </c>
      <c r="GV208">
        <f t="shared" si="244"/>
        <v>0</v>
      </c>
      <c r="GW208">
        <v>1</v>
      </c>
      <c r="GX208">
        <f t="shared" si="245"/>
        <v>0</v>
      </c>
      <c r="HA208">
        <v>0</v>
      </c>
      <c r="HB208">
        <v>0</v>
      </c>
      <c r="HC208">
        <f t="shared" si="246"/>
        <v>0</v>
      </c>
      <c r="IK208">
        <v>0</v>
      </c>
    </row>
    <row r="209" spans="1:245" x14ac:dyDescent="0.2">
      <c r="A209">
        <v>18</v>
      </c>
      <c r="B209">
        <v>1</v>
      </c>
      <c r="C209">
        <v>337</v>
      </c>
      <c r="E209" t="s">
        <v>536</v>
      </c>
      <c r="F209" t="s">
        <v>537</v>
      </c>
      <c r="G209" t="s">
        <v>538</v>
      </c>
      <c r="H209" t="s">
        <v>350</v>
      </c>
      <c r="I209">
        <f>I208*J209</f>
        <v>8</v>
      </c>
      <c r="J209">
        <v>1</v>
      </c>
      <c r="O209">
        <f t="shared" si="210"/>
        <v>4951.9799999999996</v>
      </c>
      <c r="P209">
        <f t="shared" si="211"/>
        <v>4951.9799999999996</v>
      </c>
      <c r="Q209">
        <f t="shared" si="212"/>
        <v>0</v>
      </c>
      <c r="R209">
        <f t="shared" si="213"/>
        <v>0</v>
      </c>
      <c r="S209">
        <f t="shared" si="214"/>
        <v>0</v>
      </c>
      <c r="T209">
        <f t="shared" si="215"/>
        <v>0</v>
      </c>
      <c r="U209">
        <f t="shared" si="216"/>
        <v>0</v>
      </c>
      <c r="V209">
        <f t="shared" si="217"/>
        <v>0</v>
      </c>
      <c r="W209">
        <f t="shared" si="218"/>
        <v>0</v>
      </c>
      <c r="X209">
        <f t="shared" si="219"/>
        <v>0</v>
      </c>
      <c r="Y209">
        <f t="shared" si="220"/>
        <v>0</v>
      </c>
      <c r="AA209">
        <v>16808636</v>
      </c>
      <c r="AB209">
        <f t="shared" si="221"/>
        <v>92.25</v>
      </c>
      <c r="AC209">
        <f t="shared" si="222"/>
        <v>92.25</v>
      </c>
      <c r="AD209">
        <f>ROUND((((ET209)-(EU209))+AE209),2)</f>
        <v>0</v>
      </c>
      <c r="AE209">
        <f>ROUND((EU209),2)</f>
        <v>0</v>
      </c>
      <c r="AF209">
        <f>ROUND((EV209),2)</f>
        <v>0</v>
      </c>
      <c r="AG209">
        <f t="shared" si="224"/>
        <v>0</v>
      </c>
      <c r="AH209">
        <f>(EW209)</f>
        <v>0</v>
      </c>
      <c r="AI209">
        <f>(EX209)</f>
        <v>0</v>
      </c>
      <c r="AJ209">
        <f t="shared" si="226"/>
        <v>0</v>
      </c>
      <c r="AK209">
        <v>92.25</v>
      </c>
      <c r="AL209">
        <v>92.25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95</v>
      </c>
      <c r="AU209">
        <v>65</v>
      </c>
      <c r="AV209">
        <v>1</v>
      </c>
      <c r="AW209">
        <v>1</v>
      </c>
      <c r="AZ209">
        <v>6.71</v>
      </c>
      <c r="BA209">
        <v>1</v>
      </c>
      <c r="BB209">
        <v>1</v>
      </c>
      <c r="BC209">
        <v>6.71</v>
      </c>
      <c r="BD209" t="s">
        <v>6</v>
      </c>
      <c r="BE209" t="s">
        <v>6</v>
      </c>
      <c r="BF209" t="s">
        <v>6</v>
      </c>
      <c r="BG209" t="s">
        <v>6</v>
      </c>
      <c r="BH209">
        <v>3</v>
      </c>
      <c r="BI209">
        <v>2</v>
      </c>
      <c r="BJ209" t="s">
        <v>539</v>
      </c>
      <c r="BM209">
        <v>108001</v>
      </c>
      <c r="BN209">
        <v>0</v>
      </c>
      <c r="BO209" t="s">
        <v>6</v>
      </c>
      <c r="BP209">
        <v>0</v>
      </c>
      <c r="BQ209">
        <v>3</v>
      </c>
      <c r="BR209">
        <v>0</v>
      </c>
      <c r="BS209">
        <v>1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6</v>
      </c>
      <c r="BZ209">
        <v>95</v>
      </c>
      <c r="CA209">
        <v>65</v>
      </c>
      <c r="CE209">
        <v>0</v>
      </c>
      <c r="CF209">
        <v>0</v>
      </c>
      <c r="CG209">
        <v>0</v>
      </c>
      <c r="CM209">
        <v>0</v>
      </c>
      <c r="CN209" t="s">
        <v>6</v>
      </c>
      <c r="CO209">
        <v>0</v>
      </c>
      <c r="CP209">
        <f t="shared" si="227"/>
        <v>4951.9799999999996</v>
      </c>
      <c r="CQ209">
        <f t="shared" si="228"/>
        <v>618.99749999999995</v>
      </c>
      <c r="CR209">
        <f t="shared" si="229"/>
        <v>0</v>
      </c>
      <c r="CS209">
        <f t="shared" si="230"/>
        <v>0</v>
      </c>
      <c r="CT209">
        <f t="shared" si="231"/>
        <v>0</v>
      </c>
      <c r="CU209">
        <f t="shared" si="232"/>
        <v>0</v>
      </c>
      <c r="CV209">
        <f t="shared" si="233"/>
        <v>0</v>
      </c>
      <c r="CW209">
        <f t="shared" si="234"/>
        <v>0</v>
      </c>
      <c r="CX209">
        <f t="shared" si="235"/>
        <v>0</v>
      </c>
      <c r="CY209">
        <f t="shared" si="236"/>
        <v>0</v>
      </c>
      <c r="CZ209">
        <f t="shared" si="237"/>
        <v>0</v>
      </c>
      <c r="DC209" t="s">
        <v>6</v>
      </c>
      <c r="DD209" t="s">
        <v>6</v>
      </c>
      <c r="DE209" t="s">
        <v>6</v>
      </c>
      <c r="DF209" t="s">
        <v>6</v>
      </c>
      <c r="DG209" t="s">
        <v>6</v>
      </c>
      <c r="DH209" t="s">
        <v>6</v>
      </c>
      <c r="DI209" t="s">
        <v>6</v>
      </c>
      <c r="DJ209" t="s">
        <v>6</v>
      </c>
      <c r="DK209" t="s">
        <v>6</v>
      </c>
      <c r="DL209" t="s">
        <v>6</v>
      </c>
      <c r="DM209" t="s">
        <v>6</v>
      </c>
      <c r="DN209">
        <v>0</v>
      </c>
      <c r="DO209">
        <v>0</v>
      </c>
      <c r="DP209">
        <v>1</v>
      </c>
      <c r="DQ209">
        <v>1</v>
      </c>
      <c r="DU209">
        <v>1010</v>
      </c>
      <c r="DV209" t="s">
        <v>350</v>
      </c>
      <c r="DW209" t="s">
        <v>350</v>
      </c>
      <c r="DX209">
        <v>1</v>
      </c>
      <c r="EE209">
        <v>16510370</v>
      </c>
      <c r="EF209">
        <v>3</v>
      </c>
      <c r="EG209" t="s">
        <v>50</v>
      </c>
      <c r="EH209">
        <v>0</v>
      </c>
      <c r="EI209" t="s">
        <v>6</v>
      </c>
      <c r="EJ209">
        <v>2</v>
      </c>
      <c r="EK209">
        <v>108001</v>
      </c>
      <c r="EL209" t="s">
        <v>51</v>
      </c>
      <c r="EM209" t="s">
        <v>52</v>
      </c>
      <c r="EO209" t="s">
        <v>6</v>
      </c>
      <c r="EQ209">
        <v>0</v>
      </c>
      <c r="ER209">
        <v>92.25</v>
      </c>
      <c r="ES209">
        <v>92.25</v>
      </c>
      <c r="ET209">
        <v>0</v>
      </c>
      <c r="EU209">
        <v>0</v>
      </c>
      <c r="EV209">
        <v>0</v>
      </c>
      <c r="EW209">
        <v>0</v>
      </c>
      <c r="EX209">
        <v>0</v>
      </c>
      <c r="FQ209">
        <v>0</v>
      </c>
      <c r="FR209">
        <f t="shared" si="238"/>
        <v>0</v>
      </c>
      <c r="FS209">
        <v>0</v>
      </c>
      <c r="FX209">
        <v>95</v>
      </c>
      <c r="FY209">
        <v>65</v>
      </c>
      <c r="GA209" t="s">
        <v>6</v>
      </c>
      <c r="GD209">
        <v>0</v>
      </c>
      <c r="GF209">
        <v>-1814208585</v>
      </c>
      <c r="GG209">
        <v>1</v>
      </c>
      <c r="GH209">
        <v>1</v>
      </c>
      <c r="GI209">
        <v>4</v>
      </c>
      <c r="GJ209">
        <v>0</v>
      </c>
      <c r="GK209">
        <f>ROUND(R209*(R12)/100,2)</f>
        <v>0</v>
      </c>
      <c r="GL209">
        <f t="shared" si="239"/>
        <v>0</v>
      </c>
      <c r="GM209">
        <f t="shared" si="240"/>
        <v>4951.9799999999996</v>
      </c>
      <c r="GN209">
        <f t="shared" si="241"/>
        <v>0</v>
      </c>
      <c r="GO209">
        <f t="shared" si="242"/>
        <v>4951.9799999999996</v>
      </c>
      <c r="GP209">
        <f t="shared" si="243"/>
        <v>0</v>
      </c>
      <c r="GR209">
        <v>0</v>
      </c>
      <c r="GS209">
        <v>3</v>
      </c>
      <c r="GT209">
        <v>0</v>
      </c>
      <c r="GU209" t="s">
        <v>6</v>
      </c>
      <c r="GV209">
        <f t="shared" si="244"/>
        <v>0</v>
      </c>
      <c r="GW209">
        <v>1</v>
      </c>
      <c r="GX209">
        <f t="shared" si="245"/>
        <v>0</v>
      </c>
      <c r="HA209">
        <v>0</v>
      </c>
      <c r="HB209">
        <v>0</v>
      </c>
      <c r="HC209">
        <f t="shared" si="246"/>
        <v>0</v>
      </c>
      <c r="IK209">
        <v>0</v>
      </c>
    </row>
    <row r="210" spans="1:245" x14ac:dyDescent="0.2">
      <c r="A210">
        <v>17</v>
      </c>
      <c r="B210">
        <v>1</v>
      </c>
      <c r="C210">
        <f>ROW(SmtRes!A355)</f>
        <v>355</v>
      </c>
      <c r="D210">
        <f>ROW(EtalonRes!A325)</f>
        <v>325</v>
      </c>
      <c r="E210" t="s">
        <v>540</v>
      </c>
      <c r="F210" t="s">
        <v>541</v>
      </c>
      <c r="G210" t="s">
        <v>542</v>
      </c>
      <c r="H210" t="s">
        <v>45</v>
      </c>
      <c r="I210">
        <v>36</v>
      </c>
      <c r="J210">
        <v>0</v>
      </c>
      <c r="O210">
        <f t="shared" si="210"/>
        <v>9459.49</v>
      </c>
      <c r="P210">
        <f t="shared" si="211"/>
        <v>4852.9399999999996</v>
      </c>
      <c r="Q210">
        <f t="shared" si="212"/>
        <v>304.37</v>
      </c>
      <c r="R210">
        <f t="shared" si="213"/>
        <v>0</v>
      </c>
      <c r="S210">
        <f t="shared" si="214"/>
        <v>4302.18</v>
      </c>
      <c r="T210">
        <f t="shared" si="215"/>
        <v>0</v>
      </c>
      <c r="U210">
        <f t="shared" si="216"/>
        <v>67.391999999999996</v>
      </c>
      <c r="V210">
        <f t="shared" si="217"/>
        <v>0</v>
      </c>
      <c r="W210">
        <f t="shared" si="218"/>
        <v>0</v>
      </c>
      <c r="X210">
        <f t="shared" si="219"/>
        <v>4087.07</v>
      </c>
      <c r="Y210">
        <f t="shared" si="220"/>
        <v>2796.42</v>
      </c>
      <c r="AA210">
        <v>16808636</v>
      </c>
      <c r="AB210">
        <f t="shared" si="221"/>
        <v>39.159999999999997</v>
      </c>
      <c r="AC210">
        <f t="shared" si="222"/>
        <v>20.09</v>
      </c>
      <c r="AD210">
        <f>ROUND(((((ET210*1.2))-((EU210*1.2)))+AE210),2)</f>
        <v>1.26</v>
      </c>
      <c r="AE210">
        <f>ROUND(((EU210*1.2)),2)</f>
        <v>0</v>
      </c>
      <c r="AF210">
        <f>ROUND(((EV210*1.2)),2)</f>
        <v>17.809999999999999</v>
      </c>
      <c r="AG210">
        <f t="shared" si="224"/>
        <v>0</v>
      </c>
      <c r="AH210">
        <f>((EW210*1.2))</f>
        <v>1.8719999999999999</v>
      </c>
      <c r="AI210">
        <f>((EX210*1.2))</f>
        <v>0</v>
      </c>
      <c r="AJ210">
        <f t="shared" si="226"/>
        <v>0</v>
      </c>
      <c r="AK210">
        <v>35.979999999999997</v>
      </c>
      <c r="AL210">
        <v>20.09</v>
      </c>
      <c r="AM210">
        <v>1.05</v>
      </c>
      <c r="AN210">
        <v>0</v>
      </c>
      <c r="AO210">
        <v>14.84</v>
      </c>
      <c r="AP210">
        <v>0</v>
      </c>
      <c r="AQ210">
        <v>1.56</v>
      </c>
      <c r="AR210">
        <v>0</v>
      </c>
      <c r="AS210">
        <v>0</v>
      </c>
      <c r="AT210">
        <v>95</v>
      </c>
      <c r="AU210">
        <v>65</v>
      </c>
      <c r="AV210">
        <v>1</v>
      </c>
      <c r="AW210">
        <v>1</v>
      </c>
      <c r="AZ210">
        <v>6.71</v>
      </c>
      <c r="BA210">
        <v>6.71</v>
      </c>
      <c r="BB210">
        <v>6.71</v>
      </c>
      <c r="BC210">
        <v>6.71</v>
      </c>
      <c r="BD210" t="s">
        <v>6</v>
      </c>
      <c r="BE210" t="s">
        <v>6</v>
      </c>
      <c r="BF210" t="s">
        <v>6</v>
      </c>
      <c r="BG210" t="s">
        <v>6</v>
      </c>
      <c r="BH210">
        <v>0</v>
      </c>
      <c r="BI210">
        <v>2</v>
      </c>
      <c r="BJ210" t="s">
        <v>543</v>
      </c>
      <c r="BM210">
        <v>108001</v>
      </c>
      <c r="BN210">
        <v>0</v>
      </c>
      <c r="BO210" t="s">
        <v>6</v>
      </c>
      <c r="BP210">
        <v>0</v>
      </c>
      <c r="BQ210">
        <v>3</v>
      </c>
      <c r="BR210">
        <v>0</v>
      </c>
      <c r="BS210">
        <v>6.71</v>
      </c>
      <c r="BT210">
        <v>1</v>
      </c>
      <c r="BU210">
        <v>1</v>
      </c>
      <c r="BV210">
        <v>1</v>
      </c>
      <c r="BW210">
        <v>1</v>
      </c>
      <c r="BX210">
        <v>1</v>
      </c>
      <c r="BY210" t="s">
        <v>6</v>
      </c>
      <c r="BZ210">
        <v>95</v>
      </c>
      <c r="CA210">
        <v>65</v>
      </c>
      <c r="CE210">
        <v>0</v>
      </c>
      <c r="CF210">
        <v>0</v>
      </c>
      <c r="CG210">
        <v>0</v>
      </c>
      <c r="CM210">
        <v>0</v>
      </c>
      <c r="CN210" t="s">
        <v>442</v>
      </c>
      <c r="CO210">
        <v>0</v>
      </c>
      <c r="CP210">
        <f t="shared" si="227"/>
        <v>9459.49</v>
      </c>
      <c r="CQ210">
        <f t="shared" si="228"/>
        <v>134.8039</v>
      </c>
      <c r="CR210">
        <f t="shared" si="229"/>
        <v>8.4545999999999992</v>
      </c>
      <c r="CS210">
        <f t="shared" si="230"/>
        <v>0</v>
      </c>
      <c r="CT210">
        <f t="shared" si="231"/>
        <v>119.50509999999998</v>
      </c>
      <c r="CU210">
        <f t="shared" si="232"/>
        <v>0</v>
      </c>
      <c r="CV210">
        <f t="shared" si="233"/>
        <v>1.8719999999999999</v>
      </c>
      <c r="CW210">
        <f t="shared" si="234"/>
        <v>0</v>
      </c>
      <c r="CX210">
        <f t="shared" si="235"/>
        <v>0</v>
      </c>
      <c r="CY210">
        <f t="shared" si="236"/>
        <v>4087.0710000000004</v>
      </c>
      <c r="CZ210">
        <f t="shared" si="237"/>
        <v>2796.4169999999999</v>
      </c>
      <c r="DC210" t="s">
        <v>6</v>
      </c>
      <c r="DD210" t="s">
        <v>6</v>
      </c>
      <c r="DE210" t="s">
        <v>443</v>
      </c>
      <c r="DF210" t="s">
        <v>443</v>
      </c>
      <c r="DG210" t="s">
        <v>443</v>
      </c>
      <c r="DH210" t="s">
        <v>6</v>
      </c>
      <c r="DI210" t="s">
        <v>443</v>
      </c>
      <c r="DJ210" t="s">
        <v>443</v>
      </c>
      <c r="DK210" t="s">
        <v>6</v>
      </c>
      <c r="DL210" t="s">
        <v>6</v>
      </c>
      <c r="DM210" t="s">
        <v>6</v>
      </c>
      <c r="DN210">
        <v>0</v>
      </c>
      <c r="DO210">
        <v>0</v>
      </c>
      <c r="DP210">
        <v>1</v>
      </c>
      <c r="DQ210">
        <v>1</v>
      </c>
      <c r="DU210">
        <v>1013</v>
      </c>
      <c r="DV210" t="s">
        <v>45</v>
      </c>
      <c r="DW210" t="s">
        <v>45</v>
      </c>
      <c r="DX210">
        <v>1</v>
      </c>
      <c r="EE210">
        <v>16510370</v>
      </c>
      <c r="EF210">
        <v>3</v>
      </c>
      <c r="EG210" t="s">
        <v>50</v>
      </c>
      <c r="EH210">
        <v>0</v>
      </c>
      <c r="EI210" t="s">
        <v>6</v>
      </c>
      <c r="EJ210">
        <v>2</v>
      </c>
      <c r="EK210">
        <v>108001</v>
      </c>
      <c r="EL210" t="s">
        <v>51</v>
      </c>
      <c r="EM210" t="s">
        <v>52</v>
      </c>
      <c r="EO210" t="s">
        <v>444</v>
      </c>
      <c r="EQ210">
        <v>131072</v>
      </c>
      <c r="ER210">
        <v>35.979999999999997</v>
      </c>
      <c r="ES210">
        <v>20.09</v>
      </c>
      <c r="ET210">
        <v>1.05</v>
      </c>
      <c r="EU210">
        <v>0</v>
      </c>
      <c r="EV210">
        <v>14.84</v>
      </c>
      <c r="EW210">
        <v>1.56</v>
      </c>
      <c r="EX210">
        <v>0</v>
      </c>
      <c r="EY210">
        <v>0</v>
      </c>
      <c r="FQ210">
        <v>0</v>
      </c>
      <c r="FR210">
        <f t="shared" si="238"/>
        <v>0</v>
      </c>
      <c r="FS210">
        <v>0</v>
      </c>
      <c r="FX210">
        <v>95</v>
      </c>
      <c r="FY210">
        <v>65</v>
      </c>
      <c r="GA210" t="s">
        <v>6</v>
      </c>
      <c r="GD210">
        <v>0</v>
      </c>
      <c r="GF210">
        <v>942868882</v>
      </c>
      <c r="GG210">
        <v>1</v>
      </c>
      <c r="GH210">
        <v>1</v>
      </c>
      <c r="GI210">
        <v>4</v>
      </c>
      <c r="GJ210">
        <v>0</v>
      </c>
      <c r="GK210">
        <f>ROUND(R210*(R12)/100,2)</f>
        <v>0</v>
      </c>
      <c r="GL210">
        <f t="shared" si="239"/>
        <v>0</v>
      </c>
      <c r="GM210">
        <f t="shared" si="240"/>
        <v>16342.98</v>
      </c>
      <c r="GN210">
        <f t="shared" si="241"/>
        <v>0</v>
      </c>
      <c r="GO210">
        <f t="shared" si="242"/>
        <v>16342.98</v>
      </c>
      <c r="GP210">
        <f t="shared" si="243"/>
        <v>0</v>
      </c>
      <c r="GR210">
        <v>0</v>
      </c>
      <c r="GS210">
        <v>3</v>
      </c>
      <c r="GT210">
        <v>0</v>
      </c>
      <c r="GU210" t="s">
        <v>6</v>
      </c>
      <c r="GV210">
        <f t="shared" si="244"/>
        <v>0</v>
      </c>
      <c r="GW210">
        <v>1</v>
      </c>
      <c r="GX210">
        <f t="shared" si="245"/>
        <v>0</v>
      </c>
      <c r="HA210">
        <v>0</v>
      </c>
      <c r="HB210">
        <v>0</v>
      </c>
      <c r="HC210">
        <f t="shared" si="246"/>
        <v>0</v>
      </c>
      <c r="IK210">
        <v>0</v>
      </c>
    </row>
    <row r="211" spans="1:245" x14ac:dyDescent="0.2">
      <c r="A211">
        <v>18</v>
      </c>
      <c r="B211">
        <v>1</v>
      </c>
      <c r="C211">
        <v>354</v>
      </c>
      <c r="E211" t="s">
        <v>544</v>
      </c>
      <c r="F211" t="s">
        <v>545</v>
      </c>
      <c r="G211" t="s">
        <v>546</v>
      </c>
      <c r="H211" t="s">
        <v>350</v>
      </c>
      <c r="I211">
        <f>I210*J211</f>
        <v>8</v>
      </c>
      <c r="J211">
        <v>0.22222222222222221</v>
      </c>
      <c r="O211">
        <f t="shared" si="210"/>
        <v>6143.14</v>
      </c>
      <c r="P211">
        <f t="shared" si="211"/>
        <v>6143.14</v>
      </c>
      <c r="Q211">
        <f t="shared" si="212"/>
        <v>0</v>
      </c>
      <c r="R211">
        <f t="shared" si="213"/>
        <v>0</v>
      </c>
      <c r="S211">
        <f t="shared" si="214"/>
        <v>0</v>
      </c>
      <c r="T211">
        <f t="shared" si="215"/>
        <v>0</v>
      </c>
      <c r="U211">
        <f t="shared" si="216"/>
        <v>0</v>
      </c>
      <c r="V211">
        <f t="shared" si="217"/>
        <v>0</v>
      </c>
      <c r="W211">
        <f t="shared" si="218"/>
        <v>0</v>
      </c>
      <c r="X211">
        <f t="shared" si="219"/>
        <v>0</v>
      </c>
      <c r="Y211">
        <f t="shared" si="220"/>
        <v>0</v>
      </c>
      <c r="AA211">
        <v>16808636</v>
      </c>
      <c r="AB211">
        <f t="shared" si="221"/>
        <v>114.44</v>
      </c>
      <c r="AC211">
        <f t="shared" si="222"/>
        <v>114.44</v>
      </c>
      <c r="AD211">
        <f>ROUND((((ET211)-(EU211))+AE211),2)</f>
        <v>0</v>
      </c>
      <c r="AE211">
        <f t="shared" ref="AE211:AF213" si="247">ROUND((EU211),2)</f>
        <v>0</v>
      </c>
      <c r="AF211">
        <f t="shared" si="247"/>
        <v>0</v>
      </c>
      <c r="AG211">
        <f t="shared" si="224"/>
        <v>0</v>
      </c>
      <c r="AH211">
        <f t="shared" ref="AH211:AI213" si="248">(EW211)</f>
        <v>0</v>
      </c>
      <c r="AI211">
        <f t="shared" si="248"/>
        <v>0</v>
      </c>
      <c r="AJ211">
        <f t="shared" si="226"/>
        <v>0</v>
      </c>
      <c r="AK211">
        <v>114.44</v>
      </c>
      <c r="AL211">
        <v>114.44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95</v>
      </c>
      <c r="AU211">
        <v>65</v>
      </c>
      <c r="AV211">
        <v>1</v>
      </c>
      <c r="AW211">
        <v>1</v>
      </c>
      <c r="AZ211">
        <v>6.71</v>
      </c>
      <c r="BA211">
        <v>1</v>
      </c>
      <c r="BB211">
        <v>1</v>
      </c>
      <c r="BC211">
        <v>6.71</v>
      </c>
      <c r="BD211" t="s">
        <v>6</v>
      </c>
      <c r="BE211" t="s">
        <v>6</v>
      </c>
      <c r="BF211" t="s">
        <v>6</v>
      </c>
      <c r="BG211" t="s">
        <v>6</v>
      </c>
      <c r="BH211">
        <v>3</v>
      </c>
      <c r="BI211">
        <v>2</v>
      </c>
      <c r="BJ211" t="s">
        <v>547</v>
      </c>
      <c r="BM211">
        <v>108001</v>
      </c>
      <c r="BN211">
        <v>0</v>
      </c>
      <c r="BO211" t="s">
        <v>6</v>
      </c>
      <c r="BP211">
        <v>0</v>
      </c>
      <c r="BQ211">
        <v>3</v>
      </c>
      <c r="BR211">
        <v>0</v>
      </c>
      <c r="BS211">
        <v>1</v>
      </c>
      <c r="BT211">
        <v>1</v>
      </c>
      <c r="BU211">
        <v>1</v>
      </c>
      <c r="BV211">
        <v>1</v>
      </c>
      <c r="BW211">
        <v>1</v>
      </c>
      <c r="BX211">
        <v>1</v>
      </c>
      <c r="BY211" t="s">
        <v>6</v>
      </c>
      <c r="BZ211">
        <v>95</v>
      </c>
      <c r="CA211">
        <v>65</v>
      </c>
      <c r="CE211">
        <v>0</v>
      </c>
      <c r="CF211">
        <v>0</v>
      </c>
      <c r="CG211">
        <v>0</v>
      </c>
      <c r="CM211">
        <v>0</v>
      </c>
      <c r="CN211" t="s">
        <v>6</v>
      </c>
      <c r="CO211">
        <v>0</v>
      </c>
      <c r="CP211">
        <f t="shared" si="227"/>
        <v>6143.14</v>
      </c>
      <c r="CQ211">
        <f t="shared" si="228"/>
        <v>767.89239999999995</v>
      </c>
      <c r="CR211">
        <f t="shared" si="229"/>
        <v>0</v>
      </c>
      <c r="CS211">
        <f t="shared" si="230"/>
        <v>0</v>
      </c>
      <c r="CT211">
        <f t="shared" si="231"/>
        <v>0</v>
      </c>
      <c r="CU211">
        <f t="shared" si="232"/>
        <v>0</v>
      </c>
      <c r="CV211">
        <f t="shared" si="233"/>
        <v>0</v>
      </c>
      <c r="CW211">
        <f t="shared" si="234"/>
        <v>0</v>
      </c>
      <c r="CX211">
        <f t="shared" si="235"/>
        <v>0</v>
      </c>
      <c r="CY211">
        <f t="shared" si="236"/>
        <v>0</v>
      </c>
      <c r="CZ211">
        <f t="shared" si="237"/>
        <v>0</v>
      </c>
      <c r="DC211" t="s">
        <v>6</v>
      </c>
      <c r="DD211" t="s">
        <v>6</v>
      </c>
      <c r="DE211" t="s">
        <v>6</v>
      </c>
      <c r="DF211" t="s">
        <v>6</v>
      </c>
      <c r="DG211" t="s">
        <v>6</v>
      </c>
      <c r="DH211" t="s">
        <v>6</v>
      </c>
      <c r="DI211" t="s">
        <v>6</v>
      </c>
      <c r="DJ211" t="s">
        <v>6</v>
      </c>
      <c r="DK211" t="s">
        <v>6</v>
      </c>
      <c r="DL211" t="s">
        <v>6</v>
      </c>
      <c r="DM211" t="s">
        <v>6</v>
      </c>
      <c r="DN211">
        <v>0</v>
      </c>
      <c r="DO211">
        <v>0</v>
      </c>
      <c r="DP211">
        <v>1</v>
      </c>
      <c r="DQ211">
        <v>1</v>
      </c>
      <c r="DU211">
        <v>1010</v>
      </c>
      <c r="DV211" t="s">
        <v>350</v>
      </c>
      <c r="DW211" t="s">
        <v>350</v>
      </c>
      <c r="DX211">
        <v>1</v>
      </c>
      <c r="EE211">
        <v>16510370</v>
      </c>
      <c r="EF211">
        <v>3</v>
      </c>
      <c r="EG211" t="s">
        <v>50</v>
      </c>
      <c r="EH211">
        <v>0</v>
      </c>
      <c r="EI211" t="s">
        <v>6</v>
      </c>
      <c r="EJ211">
        <v>2</v>
      </c>
      <c r="EK211">
        <v>108001</v>
      </c>
      <c r="EL211" t="s">
        <v>51</v>
      </c>
      <c r="EM211" t="s">
        <v>52</v>
      </c>
      <c r="EO211" t="s">
        <v>6</v>
      </c>
      <c r="EQ211">
        <v>0</v>
      </c>
      <c r="ER211">
        <v>114.44</v>
      </c>
      <c r="ES211">
        <v>114.44</v>
      </c>
      <c r="ET211">
        <v>0</v>
      </c>
      <c r="EU211">
        <v>0</v>
      </c>
      <c r="EV211">
        <v>0</v>
      </c>
      <c r="EW211">
        <v>0</v>
      </c>
      <c r="EX211">
        <v>0</v>
      </c>
      <c r="FQ211">
        <v>0</v>
      </c>
      <c r="FR211">
        <f t="shared" si="238"/>
        <v>0</v>
      </c>
      <c r="FS211">
        <v>0</v>
      </c>
      <c r="FX211">
        <v>95</v>
      </c>
      <c r="FY211">
        <v>65</v>
      </c>
      <c r="GA211" t="s">
        <v>6</v>
      </c>
      <c r="GD211">
        <v>0</v>
      </c>
      <c r="GF211">
        <v>-1744332854</v>
      </c>
      <c r="GG211">
        <v>1</v>
      </c>
      <c r="GH211">
        <v>1</v>
      </c>
      <c r="GI211">
        <v>4</v>
      </c>
      <c r="GJ211">
        <v>0</v>
      </c>
      <c r="GK211">
        <f>ROUND(R211*(R12)/100,2)</f>
        <v>0</v>
      </c>
      <c r="GL211">
        <f t="shared" si="239"/>
        <v>0</v>
      </c>
      <c r="GM211">
        <f t="shared" si="240"/>
        <v>6143.14</v>
      </c>
      <c r="GN211">
        <f t="shared" si="241"/>
        <v>0</v>
      </c>
      <c r="GO211">
        <f t="shared" si="242"/>
        <v>6143.14</v>
      </c>
      <c r="GP211">
        <f t="shared" si="243"/>
        <v>0</v>
      </c>
      <c r="GR211">
        <v>0</v>
      </c>
      <c r="GS211">
        <v>3</v>
      </c>
      <c r="GT211">
        <v>0</v>
      </c>
      <c r="GU211" t="s">
        <v>6</v>
      </c>
      <c r="GV211">
        <f t="shared" si="244"/>
        <v>0</v>
      </c>
      <c r="GW211">
        <v>1</v>
      </c>
      <c r="GX211">
        <f t="shared" si="245"/>
        <v>0</v>
      </c>
      <c r="HA211">
        <v>0</v>
      </c>
      <c r="HB211">
        <v>0</v>
      </c>
      <c r="HC211">
        <f t="shared" si="246"/>
        <v>0</v>
      </c>
      <c r="IK211">
        <v>0</v>
      </c>
    </row>
    <row r="212" spans="1:245" x14ac:dyDescent="0.2">
      <c r="A212">
        <v>18</v>
      </c>
      <c r="B212">
        <v>1</v>
      </c>
      <c r="C212">
        <v>353</v>
      </c>
      <c r="E212" t="s">
        <v>548</v>
      </c>
      <c r="F212" t="s">
        <v>549</v>
      </c>
      <c r="G212" t="s">
        <v>550</v>
      </c>
      <c r="H212" t="s">
        <v>350</v>
      </c>
      <c r="I212">
        <f>I210*J212</f>
        <v>8</v>
      </c>
      <c r="J212">
        <v>0.22222222222222221</v>
      </c>
      <c r="O212">
        <f t="shared" si="210"/>
        <v>2251.88</v>
      </c>
      <c r="P212">
        <f t="shared" si="211"/>
        <v>2251.88</v>
      </c>
      <c r="Q212">
        <f t="shared" si="212"/>
        <v>0</v>
      </c>
      <c r="R212">
        <f t="shared" si="213"/>
        <v>0</v>
      </c>
      <c r="S212">
        <f t="shared" si="214"/>
        <v>0</v>
      </c>
      <c r="T212">
        <f t="shared" si="215"/>
        <v>0</v>
      </c>
      <c r="U212">
        <f t="shared" si="216"/>
        <v>0</v>
      </c>
      <c r="V212">
        <f t="shared" si="217"/>
        <v>0</v>
      </c>
      <c r="W212">
        <f t="shared" si="218"/>
        <v>0</v>
      </c>
      <c r="X212">
        <f t="shared" si="219"/>
        <v>0</v>
      </c>
      <c r="Y212">
        <f t="shared" si="220"/>
        <v>0</v>
      </c>
      <c r="AA212">
        <v>16808636</v>
      </c>
      <c r="AB212">
        <f t="shared" si="221"/>
        <v>41.95</v>
      </c>
      <c r="AC212">
        <f t="shared" si="222"/>
        <v>41.95</v>
      </c>
      <c r="AD212">
        <f>ROUND((((ET212)-(EU212))+AE212),2)</f>
        <v>0</v>
      </c>
      <c r="AE212">
        <f t="shared" si="247"/>
        <v>0</v>
      </c>
      <c r="AF212">
        <f t="shared" si="247"/>
        <v>0</v>
      </c>
      <c r="AG212">
        <f t="shared" si="224"/>
        <v>0</v>
      </c>
      <c r="AH212">
        <f t="shared" si="248"/>
        <v>0</v>
      </c>
      <c r="AI212">
        <f t="shared" si="248"/>
        <v>0</v>
      </c>
      <c r="AJ212">
        <f t="shared" si="226"/>
        <v>0</v>
      </c>
      <c r="AK212">
        <v>41.95</v>
      </c>
      <c r="AL212">
        <v>41.95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95</v>
      </c>
      <c r="AU212">
        <v>65</v>
      </c>
      <c r="AV212">
        <v>1</v>
      </c>
      <c r="AW212">
        <v>1</v>
      </c>
      <c r="AZ212">
        <v>6.71</v>
      </c>
      <c r="BA212">
        <v>1</v>
      </c>
      <c r="BB212">
        <v>1</v>
      </c>
      <c r="BC212">
        <v>6.71</v>
      </c>
      <c r="BD212" t="s">
        <v>6</v>
      </c>
      <c r="BE212" t="s">
        <v>6</v>
      </c>
      <c r="BF212" t="s">
        <v>6</v>
      </c>
      <c r="BG212" t="s">
        <v>6</v>
      </c>
      <c r="BH212">
        <v>3</v>
      </c>
      <c r="BI212">
        <v>2</v>
      </c>
      <c r="BJ212" t="s">
        <v>551</v>
      </c>
      <c r="BM212">
        <v>108001</v>
      </c>
      <c r="BN212">
        <v>0</v>
      </c>
      <c r="BO212" t="s">
        <v>6</v>
      </c>
      <c r="BP212">
        <v>0</v>
      </c>
      <c r="BQ212">
        <v>3</v>
      </c>
      <c r="BR212">
        <v>0</v>
      </c>
      <c r="BS212">
        <v>1</v>
      </c>
      <c r="BT212">
        <v>1</v>
      </c>
      <c r="BU212">
        <v>1</v>
      </c>
      <c r="BV212">
        <v>1</v>
      </c>
      <c r="BW212">
        <v>1</v>
      </c>
      <c r="BX212">
        <v>1</v>
      </c>
      <c r="BY212" t="s">
        <v>6</v>
      </c>
      <c r="BZ212">
        <v>95</v>
      </c>
      <c r="CA212">
        <v>65</v>
      </c>
      <c r="CE212">
        <v>0</v>
      </c>
      <c r="CF212">
        <v>0</v>
      </c>
      <c r="CG212">
        <v>0</v>
      </c>
      <c r="CM212">
        <v>0</v>
      </c>
      <c r="CN212" t="s">
        <v>6</v>
      </c>
      <c r="CO212">
        <v>0</v>
      </c>
      <c r="CP212">
        <f t="shared" si="227"/>
        <v>2251.88</v>
      </c>
      <c r="CQ212">
        <f t="shared" si="228"/>
        <v>281.48450000000003</v>
      </c>
      <c r="CR212">
        <f t="shared" si="229"/>
        <v>0</v>
      </c>
      <c r="CS212">
        <f t="shared" si="230"/>
        <v>0</v>
      </c>
      <c r="CT212">
        <f t="shared" si="231"/>
        <v>0</v>
      </c>
      <c r="CU212">
        <f t="shared" si="232"/>
        <v>0</v>
      </c>
      <c r="CV212">
        <f t="shared" si="233"/>
        <v>0</v>
      </c>
      <c r="CW212">
        <f t="shared" si="234"/>
        <v>0</v>
      </c>
      <c r="CX212">
        <f t="shared" si="235"/>
        <v>0</v>
      </c>
      <c r="CY212">
        <f t="shared" si="236"/>
        <v>0</v>
      </c>
      <c r="CZ212">
        <f t="shared" si="237"/>
        <v>0</v>
      </c>
      <c r="DC212" t="s">
        <v>6</v>
      </c>
      <c r="DD212" t="s">
        <v>6</v>
      </c>
      <c r="DE212" t="s">
        <v>6</v>
      </c>
      <c r="DF212" t="s">
        <v>6</v>
      </c>
      <c r="DG212" t="s">
        <v>6</v>
      </c>
      <c r="DH212" t="s">
        <v>6</v>
      </c>
      <c r="DI212" t="s">
        <v>6</v>
      </c>
      <c r="DJ212" t="s">
        <v>6</v>
      </c>
      <c r="DK212" t="s">
        <v>6</v>
      </c>
      <c r="DL212" t="s">
        <v>6</v>
      </c>
      <c r="DM212" t="s">
        <v>6</v>
      </c>
      <c r="DN212">
        <v>0</v>
      </c>
      <c r="DO212">
        <v>0</v>
      </c>
      <c r="DP212">
        <v>1</v>
      </c>
      <c r="DQ212">
        <v>1</v>
      </c>
      <c r="DU212">
        <v>1010</v>
      </c>
      <c r="DV212" t="s">
        <v>350</v>
      </c>
      <c r="DW212" t="s">
        <v>350</v>
      </c>
      <c r="DX212">
        <v>1</v>
      </c>
      <c r="EE212">
        <v>16510370</v>
      </c>
      <c r="EF212">
        <v>3</v>
      </c>
      <c r="EG212" t="s">
        <v>50</v>
      </c>
      <c r="EH212">
        <v>0</v>
      </c>
      <c r="EI212" t="s">
        <v>6</v>
      </c>
      <c r="EJ212">
        <v>2</v>
      </c>
      <c r="EK212">
        <v>108001</v>
      </c>
      <c r="EL212" t="s">
        <v>51</v>
      </c>
      <c r="EM212" t="s">
        <v>52</v>
      </c>
      <c r="EO212" t="s">
        <v>6</v>
      </c>
      <c r="EQ212">
        <v>0</v>
      </c>
      <c r="ER212">
        <v>41.95</v>
      </c>
      <c r="ES212">
        <v>41.95</v>
      </c>
      <c r="ET212">
        <v>0</v>
      </c>
      <c r="EU212">
        <v>0</v>
      </c>
      <c r="EV212">
        <v>0</v>
      </c>
      <c r="EW212">
        <v>0</v>
      </c>
      <c r="EX212">
        <v>0</v>
      </c>
      <c r="FQ212">
        <v>0</v>
      </c>
      <c r="FR212">
        <f t="shared" si="238"/>
        <v>0</v>
      </c>
      <c r="FS212">
        <v>0</v>
      </c>
      <c r="FX212">
        <v>95</v>
      </c>
      <c r="FY212">
        <v>65</v>
      </c>
      <c r="GA212" t="s">
        <v>6</v>
      </c>
      <c r="GD212">
        <v>0</v>
      </c>
      <c r="GF212">
        <v>-922264399</v>
      </c>
      <c r="GG212">
        <v>1</v>
      </c>
      <c r="GH212">
        <v>1</v>
      </c>
      <c r="GI212">
        <v>4</v>
      </c>
      <c r="GJ212">
        <v>0</v>
      </c>
      <c r="GK212">
        <f>ROUND(R212*(R12)/100,2)</f>
        <v>0</v>
      </c>
      <c r="GL212">
        <f t="shared" si="239"/>
        <v>0</v>
      </c>
      <c r="GM212">
        <f t="shared" si="240"/>
        <v>2251.88</v>
      </c>
      <c r="GN212">
        <f t="shared" si="241"/>
        <v>0</v>
      </c>
      <c r="GO212">
        <f t="shared" si="242"/>
        <v>2251.88</v>
      </c>
      <c r="GP212">
        <f t="shared" si="243"/>
        <v>0</v>
      </c>
      <c r="GR212">
        <v>0</v>
      </c>
      <c r="GS212">
        <v>3</v>
      </c>
      <c r="GT212">
        <v>0</v>
      </c>
      <c r="GU212" t="s">
        <v>6</v>
      </c>
      <c r="GV212">
        <f t="shared" si="244"/>
        <v>0</v>
      </c>
      <c r="GW212">
        <v>1</v>
      </c>
      <c r="GX212">
        <f t="shared" si="245"/>
        <v>0</v>
      </c>
      <c r="HA212">
        <v>0</v>
      </c>
      <c r="HB212">
        <v>0</v>
      </c>
      <c r="HC212">
        <f t="shared" si="246"/>
        <v>0</v>
      </c>
      <c r="IK212">
        <v>0</v>
      </c>
    </row>
    <row r="213" spans="1:245" x14ac:dyDescent="0.2">
      <c r="A213">
        <v>18</v>
      </c>
      <c r="B213">
        <v>1</v>
      </c>
      <c r="C213">
        <v>352</v>
      </c>
      <c r="E213" t="s">
        <v>552</v>
      </c>
      <c r="F213" t="s">
        <v>553</v>
      </c>
      <c r="G213" t="s">
        <v>554</v>
      </c>
      <c r="H213" t="s">
        <v>350</v>
      </c>
      <c r="I213">
        <f>I210*J213</f>
        <v>20</v>
      </c>
      <c r="J213">
        <v>0.55555555555555558</v>
      </c>
      <c r="O213">
        <f t="shared" si="210"/>
        <v>6206.75</v>
      </c>
      <c r="P213">
        <f t="shared" si="211"/>
        <v>6206.75</v>
      </c>
      <c r="Q213">
        <f t="shared" si="212"/>
        <v>0</v>
      </c>
      <c r="R213">
        <f t="shared" si="213"/>
        <v>0</v>
      </c>
      <c r="S213">
        <f t="shared" si="214"/>
        <v>0</v>
      </c>
      <c r="T213">
        <f t="shared" si="215"/>
        <v>0</v>
      </c>
      <c r="U213">
        <f t="shared" si="216"/>
        <v>0</v>
      </c>
      <c r="V213">
        <f t="shared" si="217"/>
        <v>0</v>
      </c>
      <c r="W213">
        <f t="shared" si="218"/>
        <v>0</v>
      </c>
      <c r="X213">
        <f t="shared" si="219"/>
        <v>0</v>
      </c>
      <c r="Y213">
        <f t="shared" si="220"/>
        <v>0</v>
      </c>
      <c r="AA213">
        <v>16808636</v>
      </c>
      <c r="AB213">
        <f t="shared" si="221"/>
        <v>46.25</v>
      </c>
      <c r="AC213">
        <f t="shared" si="222"/>
        <v>46.25</v>
      </c>
      <c r="AD213">
        <f>ROUND((((ET213)-(EU213))+AE213),2)</f>
        <v>0</v>
      </c>
      <c r="AE213">
        <f t="shared" si="247"/>
        <v>0</v>
      </c>
      <c r="AF213">
        <f t="shared" si="247"/>
        <v>0</v>
      </c>
      <c r="AG213">
        <f t="shared" si="224"/>
        <v>0</v>
      </c>
      <c r="AH213">
        <f t="shared" si="248"/>
        <v>0</v>
      </c>
      <c r="AI213">
        <f t="shared" si="248"/>
        <v>0</v>
      </c>
      <c r="AJ213">
        <f t="shared" si="226"/>
        <v>0</v>
      </c>
      <c r="AK213">
        <v>46.25</v>
      </c>
      <c r="AL213">
        <v>46.25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95</v>
      </c>
      <c r="AU213">
        <v>65</v>
      </c>
      <c r="AV213">
        <v>1</v>
      </c>
      <c r="AW213">
        <v>1</v>
      </c>
      <c r="AZ213">
        <v>6.71</v>
      </c>
      <c r="BA213">
        <v>1</v>
      </c>
      <c r="BB213">
        <v>1</v>
      </c>
      <c r="BC213">
        <v>6.71</v>
      </c>
      <c r="BD213" t="s">
        <v>6</v>
      </c>
      <c r="BE213" t="s">
        <v>6</v>
      </c>
      <c r="BF213" t="s">
        <v>6</v>
      </c>
      <c r="BG213" t="s">
        <v>6</v>
      </c>
      <c r="BH213">
        <v>3</v>
      </c>
      <c r="BI213">
        <v>2</v>
      </c>
      <c r="BJ213" t="s">
        <v>555</v>
      </c>
      <c r="BM213">
        <v>108001</v>
      </c>
      <c r="BN213">
        <v>0</v>
      </c>
      <c r="BO213" t="s">
        <v>6</v>
      </c>
      <c r="BP213">
        <v>0</v>
      </c>
      <c r="BQ213">
        <v>3</v>
      </c>
      <c r="BR213">
        <v>0</v>
      </c>
      <c r="BS213">
        <v>1</v>
      </c>
      <c r="BT213">
        <v>1</v>
      </c>
      <c r="BU213">
        <v>1</v>
      </c>
      <c r="BV213">
        <v>1</v>
      </c>
      <c r="BW213">
        <v>1</v>
      </c>
      <c r="BX213">
        <v>1</v>
      </c>
      <c r="BY213" t="s">
        <v>6</v>
      </c>
      <c r="BZ213">
        <v>95</v>
      </c>
      <c r="CA213">
        <v>65</v>
      </c>
      <c r="CE213">
        <v>0</v>
      </c>
      <c r="CF213">
        <v>0</v>
      </c>
      <c r="CG213">
        <v>0</v>
      </c>
      <c r="CM213">
        <v>0</v>
      </c>
      <c r="CN213" t="s">
        <v>6</v>
      </c>
      <c r="CO213">
        <v>0</v>
      </c>
      <c r="CP213">
        <f t="shared" si="227"/>
        <v>6206.75</v>
      </c>
      <c r="CQ213">
        <f t="shared" si="228"/>
        <v>310.33749999999998</v>
      </c>
      <c r="CR213">
        <f t="shared" si="229"/>
        <v>0</v>
      </c>
      <c r="CS213">
        <f t="shared" si="230"/>
        <v>0</v>
      </c>
      <c r="CT213">
        <f t="shared" si="231"/>
        <v>0</v>
      </c>
      <c r="CU213">
        <f t="shared" si="232"/>
        <v>0</v>
      </c>
      <c r="CV213">
        <f t="shared" si="233"/>
        <v>0</v>
      </c>
      <c r="CW213">
        <f t="shared" si="234"/>
        <v>0</v>
      </c>
      <c r="CX213">
        <f t="shared" si="235"/>
        <v>0</v>
      </c>
      <c r="CY213">
        <f t="shared" si="236"/>
        <v>0</v>
      </c>
      <c r="CZ213">
        <f t="shared" si="237"/>
        <v>0</v>
      </c>
      <c r="DC213" t="s">
        <v>6</v>
      </c>
      <c r="DD213" t="s">
        <v>6</v>
      </c>
      <c r="DE213" t="s">
        <v>6</v>
      </c>
      <c r="DF213" t="s">
        <v>6</v>
      </c>
      <c r="DG213" t="s">
        <v>6</v>
      </c>
      <c r="DH213" t="s">
        <v>6</v>
      </c>
      <c r="DI213" t="s">
        <v>6</v>
      </c>
      <c r="DJ213" t="s">
        <v>6</v>
      </c>
      <c r="DK213" t="s">
        <v>6</v>
      </c>
      <c r="DL213" t="s">
        <v>6</v>
      </c>
      <c r="DM213" t="s">
        <v>6</v>
      </c>
      <c r="DN213">
        <v>0</v>
      </c>
      <c r="DO213">
        <v>0</v>
      </c>
      <c r="DP213">
        <v>1</v>
      </c>
      <c r="DQ213">
        <v>1</v>
      </c>
      <c r="DU213">
        <v>1010</v>
      </c>
      <c r="DV213" t="s">
        <v>350</v>
      </c>
      <c r="DW213" t="s">
        <v>350</v>
      </c>
      <c r="DX213">
        <v>1</v>
      </c>
      <c r="EE213">
        <v>16510370</v>
      </c>
      <c r="EF213">
        <v>3</v>
      </c>
      <c r="EG213" t="s">
        <v>50</v>
      </c>
      <c r="EH213">
        <v>0</v>
      </c>
      <c r="EI213" t="s">
        <v>6</v>
      </c>
      <c r="EJ213">
        <v>2</v>
      </c>
      <c r="EK213">
        <v>108001</v>
      </c>
      <c r="EL213" t="s">
        <v>51</v>
      </c>
      <c r="EM213" t="s">
        <v>52</v>
      </c>
      <c r="EO213" t="s">
        <v>6</v>
      </c>
      <c r="EQ213">
        <v>0</v>
      </c>
      <c r="ER213">
        <v>46.25</v>
      </c>
      <c r="ES213">
        <v>46.25</v>
      </c>
      <c r="ET213">
        <v>0</v>
      </c>
      <c r="EU213">
        <v>0</v>
      </c>
      <c r="EV213">
        <v>0</v>
      </c>
      <c r="EW213">
        <v>0</v>
      </c>
      <c r="EX213">
        <v>0</v>
      </c>
      <c r="FQ213">
        <v>0</v>
      </c>
      <c r="FR213">
        <f t="shared" si="238"/>
        <v>0</v>
      </c>
      <c r="FS213">
        <v>0</v>
      </c>
      <c r="FX213">
        <v>95</v>
      </c>
      <c r="FY213">
        <v>65</v>
      </c>
      <c r="GA213" t="s">
        <v>6</v>
      </c>
      <c r="GD213">
        <v>0</v>
      </c>
      <c r="GF213">
        <v>1335085122</v>
      </c>
      <c r="GG213">
        <v>1</v>
      </c>
      <c r="GH213">
        <v>1</v>
      </c>
      <c r="GI213">
        <v>4</v>
      </c>
      <c r="GJ213">
        <v>0</v>
      </c>
      <c r="GK213">
        <f>ROUND(R213*(R12)/100,2)</f>
        <v>0</v>
      </c>
      <c r="GL213">
        <f t="shared" si="239"/>
        <v>0</v>
      </c>
      <c r="GM213">
        <f t="shared" si="240"/>
        <v>6206.75</v>
      </c>
      <c r="GN213">
        <f t="shared" si="241"/>
        <v>0</v>
      </c>
      <c r="GO213">
        <f t="shared" si="242"/>
        <v>6206.75</v>
      </c>
      <c r="GP213">
        <f t="shared" si="243"/>
        <v>0</v>
      </c>
      <c r="GR213">
        <v>0</v>
      </c>
      <c r="GS213">
        <v>3</v>
      </c>
      <c r="GT213">
        <v>0</v>
      </c>
      <c r="GU213" t="s">
        <v>6</v>
      </c>
      <c r="GV213">
        <f t="shared" si="244"/>
        <v>0</v>
      </c>
      <c r="GW213">
        <v>1</v>
      </c>
      <c r="GX213">
        <f t="shared" si="245"/>
        <v>0</v>
      </c>
      <c r="HA213">
        <v>0</v>
      </c>
      <c r="HB213">
        <v>0</v>
      </c>
      <c r="HC213">
        <f t="shared" si="246"/>
        <v>0</v>
      </c>
      <c r="IK213">
        <v>0</v>
      </c>
    </row>
    <row r="215" spans="1:245" x14ac:dyDescent="0.2">
      <c r="A215" s="2">
        <v>51</v>
      </c>
      <c r="B215" s="2">
        <f>B181</f>
        <v>1</v>
      </c>
      <c r="C215" s="2">
        <f>A181</f>
        <v>4</v>
      </c>
      <c r="D215" s="2">
        <f>ROW(A181)</f>
        <v>181</v>
      </c>
      <c r="E215" s="2"/>
      <c r="F215" s="2" t="str">
        <f>IF(F181&lt;&gt;"",F181,"")</f>
        <v>Новый раздел</v>
      </c>
      <c r="G215" s="2" t="str">
        <f>IF(G181&lt;&gt;"",G181,"")</f>
        <v>Электромонтажные работы</v>
      </c>
      <c r="H215" s="2">
        <v>0</v>
      </c>
      <c r="I215" s="2"/>
      <c r="J215" s="2"/>
      <c r="K215" s="2"/>
      <c r="L215" s="2"/>
      <c r="M215" s="2"/>
      <c r="N215" s="2"/>
      <c r="O215" s="2">
        <f t="shared" ref="O215:T215" si="249">ROUND(AB215,2)</f>
        <v>248366.4</v>
      </c>
      <c r="P215" s="2">
        <f t="shared" si="249"/>
        <v>223010.96</v>
      </c>
      <c r="Q215" s="2">
        <f t="shared" si="249"/>
        <v>1776.96</v>
      </c>
      <c r="R215" s="2">
        <f t="shared" si="249"/>
        <v>210.96</v>
      </c>
      <c r="S215" s="2">
        <f t="shared" si="249"/>
        <v>23578.48</v>
      </c>
      <c r="T215" s="2">
        <f t="shared" si="249"/>
        <v>0</v>
      </c>
      <c r="U215" s="2">
        <f>AH215</f>
        <v>365.70127199999996</v>
      </c>
      <c r="V215" s="2">
        <f>AI215</f>
        <v>2.495304</v>
      </c>
      <c r="W215" s="2">
        <f>ROUND(AJ215,2)</f>
        <v>0</v>
      </c>
      <c r="X215" s="2">
        <f>ROUND(AK215,2)</f>
        <v>22283.439999999999</v>
      </c>
      <c r="Y215" s="2">
        <f>ROUND(AL215,2)</f>
        <v>15319.63</v>
      </c>
      <c r="Z215" s="2"/>
      <c r="AA215" s="2"/>
      <c r="AB215" s="2">
        <f>ROUND(SUMIF(AA185:AA213,"=16808636",O185:O213),2)</f>
        <v>248366.4</v>
      </c>
      <c r="AC215" s="2">
        <f>ROUND(SUMIF(AA185:AA213,"=16808636",P185:P213),2)</f>
        <v>223010.96</v>
      </c>
      <c r="AD215" s="2">
        <f>ROUND(SUMIF(AA185:AA213,"=16808636",Q185:Q213),2)</f>
        <v>1776.96</v>
      </c>
      <c r="AE215" s="2">
        <f>ROUND(SUMIF(AA185:AA213,"=16808636",R185:R213),2)</f>
        <v>210.96</v>
      </c>
      <c r="AF215" s="2">
        <f>ROUND(SUMIF(AA185:AA213,"=16808636",S185:S213),2)</f>
        <v>23578.48</v>
      </c>
      <c r="AG215" s="2">
        <f>ROUND(SUMIF(AA185:AA213,"=16808636",T185:T213),2)</f>
        <v>0</v>
      </c>
      <c r="AH215" s="2">
        <f>SUMIF(AA185:AA213,"=16808636",U185:U213)</f>
        <v>365.70127199999996</v>
      </c>
      <c r="AI215" s="2">
        <f>SUMIF(AA185:AA213,"=16808636",V185:V213)</f>
        <v>2.495304</v>
      </c>
      <c r="AJ215" s="2">
        <f>ROUND(SUMIF(AA185:AA213,"=16808636",W185:W213),2)</f>
        <v>0</v>
      </c>
      <c r="AK215" s="2">
        <f>ROUND(SUMIF(AA185:AA213,"=16808636",X185:X213),2)</f>
        <v>22283.439999999999</v>
      </c>
      <c r="AL215" s="2">
        <f>ROUND(SUMIF(AA185:AA213,"=16808636",Y185:Y213),2)</f>
        <v>15319.63</v>
      </c>
      <c r="AM215" s="2"/>
      <c r="AN215" s="2"/>
      <c r="AO215" s="2">
        <f t="shared" ref="AO215:BC215" si="250">ROUND(BX215,2)</f>
        <v>0</v>
      </c>
      <c r="AP215" s="2">
        <f t="shared" si="250"/>
        <v>0</v>
      </c>
      <c r="AQ215" s="2">
        <f t="shared" si="250"/>
        <v>0</v>
      </c>
      <c r="AR215" s="2">
        <f t="shared" si="250"/>
        <v>285969.46999999997</v>
      </c>
      <c r="AS215" s="2">
        <f t="shared" si="250"/>
        <v>1142.72</v>
      </c>
      <c r="AT215" s="2">
        <f t="shared" si="250"/>
        <v>284826.75</v>
      </c>
      <c r="AU215" s="2">
        <f t="shared" si="250"/>
        <v>0</v>
      </c>
      <c r="AV215" s="2">
        <f t="shared" si="250"/>
        <v>223010.96</v>
      </c>
      <c r="AW215" s="2">
        <f t="shared" si="250"/>
        <v>223010.96</v>
      </c>
      <c r="AX215" s="2">
        <f t="shared" si="250"/>
        <v>0</v>
      </c>
      <c r="AY215" s="2">
        <f t="shared" si="250"/>
        <v>223010.96</v>
      </c>
      <c r="AZ215" s="2">
        <f t="shared" si="250"/>
        <v>0</v>
      </c>
      <c r="BA215" s="2">
        <f t="shared" si="250"/>
        <v>0</v>
      </c>
      <c r="BB215" s="2">
        <f t="shared" si="250"/>
        <v>0</v>
      </c>
      <c r="BC215" s="2">
        <f t="shared" si="250"/>
        <v>0</v>
      </c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>
        <f>ROUND(SUMIF(AA185:AA213,"=16808636",FQ185:FQ213),2)</f>
        <v>0</v>
      </c>
      <c r="BY215" s="2">
        <f>ROUND(SUMIF(AA185:AA213,"=16808636",FR185:FR213),2)</f>
        <v>0</v>
      </c>
      <c r="BZ215" s="2">
        <f>ROUND(SUMIF(AA185:AA213,"=16808636",GL185:GL213),2)</f>
        <v>0</v>
      </c>
      <c r="CA215" s="2">
        <f>ROUND(SUMIF(AA185:AA213,"=16808636",GM185:GM213),2)</f>
        <v>285969.46999999997</v>
      </c>
      <c r="CB215" s="2">
        <f>ROUND(SUMIF(AA185:AA213,"=16808636",GN185:GN213),2)</f>
        <v>1142.72</v>
      </c>
      <c r="CC215" s="2">
        <f>ROUND(SUMIF(AA185:AA213,"=16808636",GO185:GO213),2)</f>
        <v>284826.75</v>
      </c>
      <c r="CD215" s="2">
        <f>ROUND(SUMIF(AA185:AA213,"=16808636",GP185:GP213),2)</f>
        <v>0</v>
      </c>
      <c r="CE215" s="2">
        <f>AC215-BX215</f>
        <v>223010.96</v>
      </c>
      <c r="CF215" s="2">
        <f>AC215-BY215</f>
        <v>223010.96</v>
      </c>
      <c r="CG215" s="2">
        <f>BX215-BZ215</f>
        <v>0</v>
      </c>
      <c r="CH215" s="2">
        <f>AC215-BX215-BY215+BZ215</f>
        <v>223010.96</v>
      </c>
      <c r="CI215" s="2">
        <f>BY215-BZ215</f>
        <v>0</v>
      </c>
      <c r="CJ215" s="2">
        <f>ROUND(SUMIF(AA185:AA213,"=16808636",GX185:GX213),2)</f>
        <v>0</v>
      </c>
      <c r="CK215" s="2">
        <f>ROUND(SUMIF(AA185:AA213,"=16808636",GY185:GY213),2)</f>
        <v>0</v>
      </c>
      <c r="CL215" s="2">
        <f>ROUND(SUMIF(AA185:AA213,"=16808636",GZ185:GZ213),2)</f>
        <v>0</v>
      </c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3"/>
      <c r="DH215" s="3"/>
      <c r="DI215" s="3"/>
      <c r="DJ215" s="3"/>
      <c r="DK215" s="3"/>
      <c r="DL215" s="3"/>
      <c r="DM215" s="3"/>
      <c r="DN215" s="3"/>
      <c r="DO215" s="3"/>
      <c r="DP215" s="3"/>
      <c r="DQ215" s="3"/>
      <c r="DR215" s="3"/>
      <c r="DS215" s="3"/>
      <c r="DT215" s="3"/>
      <c r="DU215" s="3"/>
      <c r="DV215" s="3"/>
      <c r="DW215" s="3"/>
      <c r="DX215" s="3"/>
      <c r="DY215" s="3"/>
      <c r="DZ215" s="3"/>
      <c r="EA215" s="3"/>
      <c r="EB215" s="3"/>
      <c r="EC215" s="3"/>
      <c r="ED215" s="3"/>
      <c r="EE215" s="3"/>
      <c r="EF215" s="3"/>
      <c r="EG215" s="3"/>
      <c r="EH215" s="3"/>
      <c r="EI215" s="3"/>
      <c r="EJ215" s="3"/>
      <c r="EK215" s="3"/>
      <c r="EL215" s="3"/>
      <c r="EM215" s="3"/>
      <c r="EN215" s="3"/>
      <c r="EO215" s="3"/>
      <c r="EP215" s="3"/>
      <c r="EQ215" s="3"/>
      <c r="ER215" s="3"/>
      <c r="ES215" s="3"/>
      <c r="ET215" s="3"/>
      <c r="EU215" s="3"/>
      <c r="EV215" s="3"/>
      <c r="EW215" s="3"/>
      <c r="EX215" s="3"/>
      <c r="EY215" s="3"/>
      <c r="EZ215" s="3"/>
      <c r="FA215" s="3"/>
      <c r="FB215" s="3"/>
      <c r="FC215" s="3"/>
      <c r="FD215" s="3"/>
      <c r="FE215" s="3"/>
      <c r="FF215" s="3"/>
      <c r="FG215" s="3"/>
      <c r="FH215" s="3"/>
      <c r="FI215" s="3"/>
      <c r="FJ215" s="3"/>
      <c r="FK215" s="3"/>
      <c r="FL215" s="3"/>
      <c r="FM215" s="3"/>
      <c r="FN215" s="3"/>
      <c r="FO215" s="3"/>
      <c r="FP215" s="3"/>
      <c r="FQ215" s="3"/>
      <c r="FR215" s="3"/>
      <c r="FS215" s="3"/>
      <c r="FT215" s="3"/>
      <c r="FU215" s="3"/>
      <c r="FV215" s="3"/>
      <c r="FW215" s="3"/>
      <c r="FX215" s="3"/>
      <c r="FY215" s="3"/>
      <c r="FZ215" s="3"/>
      <c r="GA215" s="3"/>
      <c r="GB215" s="3"/>
      <c r="GC215" s="3"/>
      <c r="GD215" s="3"/>
      <c r="GE215" s="3"/>
      <c r="GF215" s="3"/>
      <c r="GG215" s="3"/>
      <c r="GH215" s="3"/>
      <c r="GI215" s="3"/>
      <c r="GJ215" s="3"/>
      <c r="GK215" s="3"/>
      <c r="GL215" s="3"/>
      <c r="GM215" s="3"/>
      <c r="GN215" s="3"/>
      <c r="GO215" s="3"/>
      <c r="GP215" s="3"/>
      <c r="GQ215" s="3"/>
      <c r="GR215" s="3"/>
      <c r="GS215" s="3"/>
      <c r="GT215" s="3"/>
      <c r="GU215" s="3"/>
      <c r="GV215" s="3"/>
      <c r="GW215" s="3"/>
      <c r="GX215" s="3">
        <v>0</v>
      </c>
    </row>
    <row r="217" spans="1:245" x14ac:dyDescent="0.2">
      <c r="A217" s="4">
        <v>50</v>
      </c>
      <c r="B217" s="4">
        <v>0</v>
      </c>
      <c r="C217" s="4">
        <v>0</v>
      </c>
      <c r="D217" s="4">
        <v>1</v>
      </c>
      <c r="E217" s="4">
        <v>201</v>
      </c>
      <c r="F217" s="4">
        <f>ROUND(Source!O215,O217)</f>
        <v>248366.4</v>
      </c>
      <c r="G217" s="4" t="s">
        <v>118</v>
      </c>
      <c r="H217" s="4" t="s">
        <v>119</v>
      </c>
      <c r="I217" s="4"/>
      <c r="J217" s="4"/>
      <c r="K217" s="4">
        <v>201</v>
      </c>
      <c r="L217" s="4">
        <v>1</v>
      </c>
      <c r="M217" s="4">
        <v>3</v>
      </c>
      <c r="N217" s="4" t="s">
        <v>6</v>
      </c>
      <c r="O217" s="4">
        <v>2</v>
      </c>
      <c r="P217" s="4"/>
      <c r="Q217" s="4"/>
      <c r="R217" s="4"/>
      <c r="S217" s="4"/>
      <c r="T217" s="4"/>
      <c r="U217" s="4"/>
      <c r="V217" s="4"/>
      <c r="W217" s="4"/>
    </row>
    <row r="218" spans="1:245" x14ac:dyDescent="0.2">
      <c r="A218" s="4">
        <v>50</v>
      </c>
      <c r="B218" s="4">
        <v>0</v>
      </c>
      <c r="C218" s="4">
        <v>0</v>
      </c>
      <c r="D218" s="4">
        <v>1</v>
      </c>
      <c r="E218" s="4">
        <v>202</v>
      </c>
      <c r="F218" s="4">
        <f>ROUND(Source!P215,O218)</f>
        <v>223010.96</v>
      </c>
      <c r="G218" s="4" t="s">
        <v>120</v>
      </c>
      <c r="H218" s="4" t="s">
        <v>121</v>
      </c>
      <c r="I218" s="4"/>
      <c r="J218" s="4"/>
      <c r="K218" s="4">
        <v>202</v>
      </c>
      <c r="L218" s="4">
        <v>2</v>
      </c>
      <c r="M218" s="4">
        <v>3</v>
      </c>
      <c r="N218" s="4" t="s">
        <v>6</v>
      </c>
      <c r="O218" s="4">
        <v>2</v>
      </c>
      <c r="P218" s="4"/>
      <c r="Q218" s="4"/>
      <c r="R218" s="4"/>
      <c r="S218" s="4"/>
      <c r="T218" s="4"/>
      <c r="U218" s="4"/>
      <c r="V218" s="4"/>
      <c r="W218" s="4"/>
    </row>
    <row r="219" spans="1:245" x14ac:dyDescent="0.2">
      <c r="A219" s="4">
        <v>50</v>
      </c>
      <c r="B219" s="4">
        <v>0</v>
      </c>
      <c r="C219" s="4">
        <v>0</v>
      </c>
      <c r="D219" s="4">
        <v>1</v>
      </c>
      <c r="E219" s="4">
        <v>222</v>
      </c>
      <c r="F219" s="4">
        <f>ROUND(Source!AO215,O219)</f>
        <v>0</v>
      </c>
      <c r="G219" s="4" t="s">
        <v>122</v>
      </c>
      <c r="H219" s="4" t="s">
        <v>123</v>
      </c>
      <c r="I219" s="4"/>
      <c r="J219" s="4"/>
      <c r="K219" s="4">
        <v>222</v>
      </c>
      <c r="L219" s="4">
        <v>3</v>
      </c>
      <c r="M219" s="4">
        <v>3</v>
      </c>
      <c r="N219" s="4" t="s">
        <v>6</v>
      </c>
      <c r="O219" s="4">
        <v>2</v>
      </c>
      <c r="P219" s="4"/>
      <c r="Q219" s="4"/>
      <c r="R219" s="4"/>
      <c r="S219" s="4"/>
      <c r="T219" s="4"/>
      <c r="U219" s="4"/>
      <c r="V219" s="4"/>
      <c r="W219" s="4"/>
    </row>
    <row r="220" spans="1:245" x14ac:dyDescent="0.2">
      <c r="A220" s="4">
        <v>50</v>
      </c>
      <c r="B220" s="4">
        <v>0</v>
      </c>
      <c r="C220" s="4">
        <v>0</v>
      </c>
      <c r="D220" s="4">
        <v>1</v>
      </c>
      <c r="E220" s="4">
        <v>225</v>
      </c>
      <c r="F220" s="4">
        <f>ROUND(Source!AV215,O220)</f>
        <v>223010.96</v>
      </c>
      <c r="G220" s="4" t="s">
        <v>124</v>
      </c>
      <c r="H220" s="4" t="s">
        <v>125</v>
      </c>
      <c r="I220" s="4"/>
      <c r="J220" s="4"/>
      <c r="K220" s="4">
        <v>225</v>
      </c>
      <c r="L220" s="4">
        <v>4</v>
      </c>
      <c r="M220" s="4">
        <v>3</v>
      </c>
      <c r="N220" s="4" t="s">
        <v>6</v>
      </c>
      <c r="O220" s="4">
        <v>2</v>
      </c>
      <c r="P220" s="4"/>
      <c r="Q220" s="4"/>
      <c r="R220" s="4"/>
      <c r="S220" s="4"/>
      <c r="T220" s="4"/>
      <c r="U220" s="4"/>
      <c r="V220" s="4"/>
      <c r="W220" s="4"/>
    </row>
    <row r="221" spans="1:245" x14ac:dyDescent="0.2">
      <c r="A221" s="4">
        <v>50</v>
      </c>
      <c r="B221" s="4">
        <v>0</v>
      </c>
      <c r="C221" s="4">
        <v>0</v>
      </c>
      <c r="D221" s="4">
        <v>1</v>
      </c>
      <c r="E221" s="4">
        <v>226</v>
      </c>
      <c r="F221" s="4">
        <f>ROUND(Source!AW215,O221)</f>
        <v>223010.96</v>
      </c>
      <c r="G221" s="4" t="s">
        <v>126</v>
      </c>
      <c r="H221" s="4" t="s">
        <v>127</v>
      </c>
      <c r="I221" s="4"/>
      <c r="J221" s="4"/>
      <c r="K221" s="4">
        <v>226</v>
      </c>
      <c r="L221" s="4">
        <v>5</v>
      </c>
      <c r="M221" s="4">
        <v>3</v>
      </c>
      <c r="N221" s="4" t="s">
        <v>6</v>
      </c>
      <c r="O221" s="4">
        <v>2</v>
      </c>
      <c r="P221" s="4"/>
      <c r="Q221" s="4"/>
      <c r="R221" s="4"/>
      <c r="S221" s="4"/>
      <c r="T221" s="4"/>
      <c r="U221" s="4"/>
      <c r="V221" s="4"/>
      <c r="W221" s="4"/>
    </row>
    <row r="222" spans="1:245" x14ac:dyDescent="0.2">
      <c r="A222" s="4">
        <v>50</v>
      </c>
      <c r="B222" s="4">
        <v>0</v>
      </c>
      <c r="C222" s="4">
        <v>0</v>
      </c>
      <c r="D222" s="4">
        <v>1</v>
      </c>
      <c r="E222" s="4">
        <v>227</v>
      </c>
      <c r="F222" s="4">
        <f>ROUND(Source!AX215,O222)</f>
        <v>0</v>
      </c>
      <c r="G222" s="4" t="s">
        <v>128</v>
      </c>
      <c r="H222" s="4" t="s">
        <v>129</v>
      </c>
      <c r="I222" s="4"/>
      <c r="J222" s="4"/>
      <c r="K222" s="4">
        <v>227</v>
      </c>
      <c r="L222" s="4">
        <v>6</v>
      </c>
      <c r="M222" s="4">
        <v>3</v>
      </c>
      <c r="N222" s="4" t="s">
        <v>6</v>
      </c>
      <c r="O222" s="4">
        <v>2</v>
      </c>
      <c r="P222" s="4"/>
      <c r="Q222" s="4"/>
      <c r="R222" s="4"/>
      <c r="S222" s="4"/>
      <c r="T222" s="4"/>
      <c r="U222" s="4"/>
      <c r="V222" s="4"/>
      <c r="W222" s="4"/>
    </row>
    <row r="223" spans="1:245" x14ac:dyDescent="0.2">
      <c r="A223" s="4">
        <v>50</v>
      </c>
      <c r="B223" s="4">
        <v>0</v>
      </c>
      <c r="C223" s="4">
        <v>0</v>
      </c>
      <c r="D223" s="4">
        <v>1</v>
      </c>
      <c r="E223" s="4">
        <v>228</v>
      </c>
      <c r="F223" s="4">
        <f>ROUND(Source!AY215,O223)</f>
        <v>223010.96</v>
      </c>
      <c r="G223" s="4" t="s">
        <v>130</v>
      </c>
      <c r="H223" s="4" t="s">
        <v>131</v>
      </c>
      <c r="I223" s="4"/>
      <c r="J223" s="4"/>
      <c r="K223" s="4">
        <v>228</v>
      </c>
      <c r="L223" s="4">
        <v>7</v>
      </c>
      <c r="M223" s="4">
        <v>3</v>
      </c>
      <c r="N223" s="4" t="s">
        <v>6</v>
      </c>
      <c r="O223" s="4">
        <v>2</v>
      </c>
      <c r="P223" s="4"/>
      <c r="Q223" s="4"/>
      <c r="R223" s="4"/>
      <c r="S223" s="4"/>
      <c r="T223" s="4"/>
      <c r="U223" s="4"/>
      <c r="V223" s="4"/>
      <c r="W223" s="4"/>
    </row>
    <row r="224" spans="1:245" x14ac:dyDescent="0.2">
      <c r="A224" s="4">
        <v>50</v>
      </c>
      <c r="B224" s="4">
        <v>0</v>
      </c>
      <c r="C224" s="4">
        <v>0</v>
      </c>
      <c r="D224" s="4">
        <v>1</v>
      </c>
      <c r="E224" s="4">
        <v>216</v>
      </c>
      <c r="F224" s="4">
        <f>ROUND(Source!AP215,O224)</f>
        <v>0</v>
      </c>
      <c r="G224" s="4" t="s">
        <v>132</v>
      </c>
      <c r="H224" s="4" t="s">
        <v>133</v>
      </c>
      <c r="I224" s="4"/>
      <c r="J224" s="4"/>
      <c r="K224" s="4">
        <v>216</v>
      </c>
      <c r="L224" s="4">
        <v>8</v>
      </c>
      <c r="M224" s="4">
        <v>3</v>
      </c>
      <c r="N224" s="4" t="s">
        <v>6</v>
      </c>
      <c r="O224" s="4">
        <v>2</v>
      </c>
      <c r="P224" s="4"/>
      <c r="Q224" s="4"/>
      <c r="R224" s="4"/>
      <c r="S224" s="4"/>
      <c r="T224" s="4"/>
      <c r="U224" s="4"/>
      <c r="V224" s="4"/>
      <c r="W224" s="4"/>
    </row>
    <row r="225" spans="1:23" x14ac:dyDescent="0.2">
      <c r="A225" s="4">
        <v>50</v>
      </c>
      <c r="B225" s="4">
        <v>0</v>
      </c>
      <c r="C225" s="4">
        <v>0</v>
      </c>
      <c r="D225" s="4">
        <v>1</v>
      </c>
      <c r="E225" s="4">
        <v>223</v>
      </c>
      <c r="F225" s="4">
        <f>ROUND(Source!AQ215,O225)</f>
        <v>0</v>
      </c>
      <c r="G225" s="4" t="s">
        <v>134</v>
      </c>
      <c r="H225" s="4" t="s">
        <v>135</v>
      </c>
      <c r="I225" s="4"/>
      <c r="J225" s="4"/>
      <c r="K225" s="4">
        <v>223</v>
      </c>
      <c r="L225" s="4">
        <v>9</v>
      </c>
      <c r="M225" s="4">
        <v>3</v>
      </c>
      <c r="N225" s="4" t="s">
        <v>6</v>
      </c>
      <c r="O225" s="4">
        <v>2</v>
      </c>
      <c r="P225" s="4"/>
      <c r="Q225" s="4"/>
      <c r="R225" s="4"/>
      <c r="S225" s="4"/>
      <c r="T225" s="4"/>
      <c r="U225" s="4"/>
      <c r="V225" s="4"/>
      <c r="W225" s="4"/>
    </row>
    <row r="226" spans="1:23" x14ac:dyDescent="0.2">
      <c r="A226" s="4">
        <v>50</v>
      </c>
      <c r="B226" s="4">
        <v>0</v>
      </c>
      <c r="C226" s="4">
        <v>0</v>
      </c>
      <c r="D226" s="4">
        <v>1</v>
      </c>
      <c r="E226" s="4">
        <v>229</v>
      </c>
      <c r="F226" s="4">
        <f>ROUND(Source!AZ215,O226)</f>
        <v>0</v>
      </c>
      <c r="G226" s="4" t="s">
        <v>136</v>
      </c>
      <c r="H226" s="4" t="s">
        <v>137</v>
      </c>
      <c r="I226" s="4"/>
      <c r="J226" s="4"/>
      <c r="K226" s="4">
        <v>229</v>
      </c>
      <c r="L226" s="4">
        <v>10</v>
      </c>
      <c r="M226" s="4">
        <v>3</v>
      </c>
      <c r="N226" s="4" t="s">
        <v>6</v>
      </c>
      <c r="O226" s="4">
        <v>2</v>
      </c>
      <c r="P226" s="4"/>
      <c r="Q226" s="4"/>
      <c r="R226" s="4"/>
      <c r="S226" s="4"/>
      <c r="T226" s="4"/>
      <c r="U226" s="4"/>
      <c r="V226" s="4"/>
      <c r="W226" s="4"/>
    </row>
    <row r="227" spans="1:23" x14ac:dyDescent="0.2">
      <c r="A227" s="4">
        <v>50</v>
      </c>
      <c r="B227" s="4">
        <v>0</v>
      </c>
      <c r="C227" s="4">
        <v>0</v>
      </c>
      <c r="D227" s="4">
        <v>1</v>
      </c>
      <c r="E227" s="4">
        <v>203</v>
      </c>
      <c r="F227" s="4">
        <f>ROUND(Source!Q215,O227)</f>
        <v>1776.96</v>
      </c>
      <c r="G227" s="4" t="s">
        <v>138</v>
      </c>
      <c r="H227" s="4" t="s">
        <v>139</v>
      </c>
      <c r="I227" s="4"/>
      <c r="J227" s="4"/>
      <c r="K227" s="4">
        <v>203</v>
      </c>
      <c r="L227" s="4">
        <v>11</v>
      </c>
      <c r="M227" s="4">
        <v>3</v>
      </c>
      <c r="N227" s="4" t="s">
        <v>6</v>
      </c>
      <c r="O227" s="4">
        <v>2</v>
      </c>
      <c r="P227" s="4"/>
      <c r="Q227" s="4"/>
      <c r="R227" s="4"/>
      <c r="S227" s="4"/>
      <c r="T227" s="4"/>
      <c r="U227" s="4"/>
      <c r="V227" s="4"/>
      <c r="W227" s="4"/>
    </row>
    <row r="228" spans="1:23" x14ac:dyDescent="0.2">
      <c r="A228" s="4">
        <v>50</v>
      </c>
      <c r="B228" s="4">
        <v>0</v>
      </c>
      <c r="C228" s="4">
        <v>0</v>
      </c>
      <c r="D228" s="4">
        <v>1</v>
      </c>
      <c r="E228" s="4">
        <v>231</v>
      </c>
      <c r="F228" s="4">
        <f>ROUND(Source!BB215,O228)</f>
        <v>0</v>
      </c>
      <c r="G228" s="4" t="s">
        <v>140</v>
      </c>
      <c r="H228" s="4" t="s">
        <v>141</v>
      </c>
      <c r="I228" s="4"/>
      <c r="J228" s="4"/>
      <c r="K228" s="4">
        <v>231</v>
      </c>
      <c r="L228" s="4">
        <v>12</v>
      </c>
      <c r="M228" s="4">
        <v>3</v>
      </c>
      <c r="N228" s="4" t="s">
        <v>6</v>
      </c>
      <c r="O228" s="4">
        <v>2</v>
      </c>
      <c r="P228" s="4"/>
      <c r="Q228" s="4"/>
      <c r="R228" s="4"/>
      <c r="S228" s="4"/>
      <c r="T228" s="4"/>
      <c r="U228" s="4"/>
      <c r="V228" s="4"/>
      <c r="W228" s="4"/>
    </row>
    <row r="229" spans="1:23" x14ac:dyDescent="0.2">
      <c r="A229" s="4">
        <v>50</v>
      </c>
      <c r="B229" s="4">
        <v>0</v>
      </c>
      <c r="C229" s="4">
        <v>0</v>
      </c>
      <c r="D229" s="4">
        <v>1</v>
      </c>
      <c r="E229" s="4">
        <v>204</v>
      </c>
      <c r="F229" s="4">
        <f>ROUND(Source!R215,O229)</f>
        <v>210.96</v>
      </c>
      <c r="G229" s="4" t="s">
        <v>142</v>
      </c>
      <c r="H229" s="4" t="s">
        <v>143</v>
      </c>
      <c r="I229" s="4"/>
      <c r="J229" s="4"/>
      <c r="K229" s="4">
        <v>204</v>
      </c>
      <c r="L229" s="4">
        <v>13</v>
      </c>
      <c r="M229" s="4">
        <v>3</v>
      </c>
      <c r="N229" s="4" t="s">
        <v>6</v>
      </c>
      <c r="O229" s="4">
        <v>2</v>
      </c>
      <c r="P229" s="4"/>
      <c r="Q229" s="4"/>
      <c r="R229" s="4"/>
      <c r="S229" s="4"/>
      <c r="T229" s="4"/>
      <c r="U229" s="4"/>
      <c r="V229" s="4"/>
      <c r="W229" s="4"/>
    </row>
    <row r="230" spans="1:23" x14ac:dyDescent="0.2">
      <c r="A230" s="4">
        <v>50</v>
      </c>
      <c r="B230" s="4">
        <v>0</v>
      </c>
      <c r="C230" s="4">
        <v>0</v>
      </c>
      <c r="D230" s="4">
        <v>1</v>
      </c>
      <c r="E230" s="4">
        <v>205</v>
      </c>
      <c r="F230" s="4">
        <f>ROUND(Source!S215,O230)</f>
        <v>23578.48</v>
      </c>
      <c r="G230" s="4" t="s">
        <v>144</v>
      </c>
      <c r="H230" s="4" t="s">
        <v>145</v>
      </c>
      <c r="I230" s="4"/>
      <c r="J230" s="4"/>
      <c r="K230" s="4">
        <v>205</v>
      </c>
      <c r="L230" s="4">
        <v>14</v>
      </c>
      <c r="M230" s="4">
        <v>3</v>
      </c>
      <c r="N230" s="4" t="s">
        <v>6</v>
      </c>
      <c r="O230" s="4">
        <v>2</v>
      </c>
      <c r="P230" s="4"/>
      <c r="Q230" s="4"/>
      <c r="R230" s="4"/>
      <c r="S230" s="4"/>
      <c r="T230" s="4"/>
      <c r="U230" s="4"/>
      <c r="V230" s="4"/>
      <c r="W230" s="4"/>
    </row>
    <row r="231" spans="1:23" x14ac:dyDescent="0.2">
      <c r="A231" s="4">
        <v>50</v>
      </c>
      <c r="B231" s="4">
        <v>0</v>
      </c>
      <c r="C231" s="4">
        <v>0</v>
      </c>
      <c r="D231" s="4">
        <v>1</v>
      </c>
      <c r="E231" s="4">
        <v>232</v>
      </c>
      <c r="F231" s="4">
        <f>ROUND(Source!BC215,O231)</f>
        <v>0</v>
      </c>
      <c r="G231" s="4" t="s">
        <v>146</v>
      </c>
      <c r="H231" s="4" t="s">
        <v>147</v>
      </c>
      <c r="I231" s="4"/>
      <c r="J231" s="4"/>
      <c r="K231" s="4">
        <v>232</v>
      </c>
      <c r="L231" s="4">
        <v>15</v>
      </c>
      <c r="M231" s="4">
        <v>3</v>
      </c>
      <c r="N231" s="4" t="s">
        <v>6</v>
      </c>
      <c r="O231" s="4">
        <v>2</v>
      </c>
      <c r="P231" s="4"/>
      <c r="Q231" s="4"/>
      <c r="R231" s="4"/>
      <c r="S231" s="4"/>
      <c r="T231" s="4"/>
      <c r="U231" s="4"/>
      <c r="V231" s="4"/>
      <c r="W231" s="4"/>
    </row>
    <row r="232" spans="1:23" x14ac:dyDescent="0.2">
      <c r="A232" s="4">
        <v>50</v>
      </c>
      <c r="B232" s="4">
        <v>0</v>
      </c>
      <c r="C232" s="4">
        <v>0</v>
      </c>
      <c r="D232" s="4">
        <v>1</v>
      </c>
      <c r="E232" s="4">
        <v>214</v>
      </c>
      <c r="F232" s="4">
        <f>ROUND(Source!AS215,O232)</f>
        <v>1142.72</v>
      </c>
      <c r="G232" s="4" t="s">
        <v>148</v>
      </c>
      <c r="H232" s="4" t="s">
        <v>149</v>
      </c>
      <c r="I232" s="4"/>
      <c r="J232" s="4"/>
      <c r="K232" s="4">
        <v>214</v>
      </c>
      <c r="L232" s="4">
        <v>16</v>
      </c>
      <c r="M232" s="4">
        <v>3</v>
      </c>
      <c r="N232" s="4" t="s">
        <v>6</v>
      </c>
      <c r="O232" s="4">
        <v>2</v>
      </c>
      <c r="P232" s="4"/>
      <c r="Q232" s="4"/>
      <c r="R232" s="4"/>
      <c r="S232" s="4"/>
      <c r="T232" s="4"/>
      <c r="U232" s="4"/>
      <c r="V232" s="4"/>
      <c r="W232" s="4"/>
    </row>
    <row r="233" spans="1:23" x14ac:dyDescent="0.2">
      <c r="A233" s="4">
        <v>50</v>
      </c>
      <c r="B233" s="4">
        <v>0</v>
      </c>
      <c r="C233" s="4">
        <v>0</v>
      </c>
      <c r="D233" s="4">
        <v>1</v>
      </c>
      <c r="E233" s="4">
        <v>215</v>
      </c>
      <c r="F233" s="4">
        <f>ROUND(Source!AT215,O233)</f>
        <v>284826.75</v>
      </c>
      <c r="G233" s="4" t="s">
        <v>150</v>
      </c>
      <c r="H233" s="4" t="s">
        <v>151</v>
      </c>
      <c r="I233" s="4"/>
      <c r="J233" s="4"/>
      <c r="K233" s="4">
        <v>215</v>
      </c>
      <c r="L233" s="4">
        <v>17</v>
      </c>
      <c r="M233" s="4">
        <v>3</v>
      </c>
      <c r="N233" s="4" t="s">
        <v>6</v>
      </c>
      <c r="O233" s="4">
        <v>2</v>
      </c>
      <c r="P233" s="4"/>
      <c r="Q233" s="4"/>
      <c r="R233" s="4"/>
      <c r="S233" s="4"/>
      <c r="T233" s="4"/>
      <c r="U233" s="4"/>
      <c r="V233" s="4"/>
      <c r="W233" s="4"/>
    </row>
    <row r="234" spans="1:23" x14ac:dyDescent="0.2">
      <c r="A234" s="4">
        <v>50</v>
      </c>
      <c r="B234" s="4">
        <v>0</v>
      </c>
      <c r="C234" s="4">
        <v>0</v>
      </c>
      <c r="D234" s="4">
        <v>1</v>
      </c>
      <c r="E234" s="4">
        <v>217</v>
      </c>
      <c r="F234" s="4">
        <f>ROUND(Source!AU215,O234)</f>
        <v>0</v>
      </c>
      <c r="G234" s="4" t="s">
        <v>152</v>
      </c>
      <c r="H234" s="4" t="s">
        <v>153</v>
      </c>
      <c r="I234" s="4"/>
      <c r="J234" s="4"/>
      <c r="K234" s="4">
        <v>217</v>
      </c>
      <c r="L234" s="4">
        <v>18</v>
      </c>
      <c r="M234" s="4">
        <v>3</v>
      </c>
      <c r="N234" s="4" t="s">
        <v>6</v>
      </c>
      <c r="O234" s="4">
        <v>2</v>
      </c>
      <c r="P234" s="4"/>
      <c r="Q234" s="4"/>
      <c r="R234" s="4"/>
      <c r="S234" s="4"/>
      <c r="T234" s="4"/>
      <c r="U234" s="4"/>
      <c r="V234" s="4"/>
      <c r="W234" s="4"/>
    </row>
    <row r="235" spans="1:23" x14ac:dyDescent="0.2">
      <c r="A235" s="4">
        <v>50</v>
      </c>
      <c r="B235" s="4">
        <v>0</v>
      </c>
      <c r="C235" s="4">
        <v>0</v>
      </c>
      <c r="D235" s="4">
        <v>1</v>
      </c>
      <c r="E235" s="4">
        <v>230</v>
      </c>
      <c r="F235" s="4">
        <f>ROUND(Source!BA215,O235)</f>
        <v>0</v>
      </c>
      <c r="G235" s="4" t="s">
        <v>154</v>
      </c>
      <c r="H235" s="4" t="s">
        <v>155</v>
      </c>
      <c r="I235" s="4"/>
      <c r="J235" s="4"/>
      <c r="K235" s="4">
        <v>230</v>
      </c>
      <c r="L235" s="4">
        <v>19</v>
      </c>
      <c r="M235" s="4">
        <v>3</v>
      </c>
      <c r="N235" s="4" t="s">
        <v>6</v>
      </c>
      <c r="O235" s="4">
        <v>2</v>
      </c>
      <c r="P235" s="4"/>
      <c r="Q235" s="4"/>
      <c r="R235" s="4"/>
      <c r="S235" s="4"/>
      <c r="T235" s="4"/>
      <c r="U235" s="4"/>
      <c r="V235" s="4"/>
      <c r="W235" s="4"/>
    </row>
    <row r="236" spans="1:23" x14ac:dyDescent="0.2">
      <c r="A236" s="4">
        <v>50</v>
      </c>
      <c r="B236" s="4">
        <v>0</v>
      </c>
      <c r="C236" s="4">
        <v>0</v>
      </c>
      <c r="D236" s="4">
        <v>1</v>
      </c>
      <c r="E236" s="4">
        <v>206</v>
      </c>
      <c r="F236" s="4">
        <f>ROUND(Source!T215,O236)</f>
        <v>0</v>
      </c>
      <c r="G236" s="4" t="s">
        <v>156</v>
      </c>
      <c r="H236" s="4" t="s">
        <v>157</v>
      </c>
      <c r="I236" s="4"/>
      <c r="J236" s="4"/>
      <c r="K236" s="4">
        <v>206</v>
      </c>
      <c r="L236" s="4">
        <v>20</v>
      </c>
      <c r="M236" s="4">
        <v>3</v>
      </c>
      <c r="N236" s="4" t="s">
        <v>6</v>
      </c>
      <c r="O236" s="4">
        <v>2</v>
      </c>
      <c r="P236" s="4"/>
      <c r="Q236" s="4"/>
      <c r="R236" s="4"/>
      <c r="S236" s="4"/>
      <c r="T236" s="4"/>
      <c r="U236" s="4"/>
      <c r="V236" s="4"/>
      <c r="W236" s="4"/>
    </row>
    <row r="237" spans="1:23" x14ac:dyDescent="0.2">
      <c r="A237" s="4">
        <v>50</v>
      </c>
      <c r="B237" s="4">
        <v>0</v>
      </c>
      <c r="C237" s="4">
        <v>0</v>
      </c>
      <c r="D237" s="4">
        <v>1</v>
      </c>
      <c r="E237" s="4">
        <v>207</v>
      </c>
      <c r="F237" s="4">
        <f>Source!U215</f>
        <v>365.70127199999996</v>
      </c>
      <c r="G237" s="4" t="s">
        <v>158</v>
      </c>
      <c r="H237" s="4" t="s">
        <v>159</v>
      </c>
      <c r="I237" s="4"/>
      <c r="J237" s="4"/>
      <c r="K237" s="4">
        <v>207</v>
      </c>
      <c r="L237" s="4">
        <v>21</v>
      </c>
      <c r="M237" s="4">
        <v>3</v>
      </c>
      <c r="N237" s="4" t="s">
        <v>6</v>
      </c>
      <c r="O237" s="4">
        <v>-1</v>
      </c>
      <c r="P237" s="4"/>
      <c r="Q237" s="4"/>
      <c r="R237" s="4"/>
      <c r="S237" s="4"/>
      <c r="T237" s="4"/>
      <c r="U237" s="4"/>
      <c r="V237" s="4"/>
      <c r="W237" s="4"/>
    </row>
    <row r="238" spans="1:23" x14ac:dyDescent="0.2">
      <c r="A238" s="4">
        <v>50</v>
      </c>
      <c r="B238" s="4">
        <v>0</v>
      </c>
      <c r="C238" s="4">
        <v>0</v>
      </c>
      <c r="D238" s="4">
        <v>1</v>
      </c>
      <c r="E238" s="4">
        <v>208</v>
      </c>
      <c r="F238" s="4">
        <f>Source!V215</f>
        <v>2.495304</v>
      </c>
      <c r="G238" s="4" t="s">
        <v>160</v>
      </c>
      <c r="H238" s="4" t="s">
        <v>161</v>
      </c>
      <c r="I238" s="4"/>
      <c r="J238" s="4"/>
      <c r="K238" s="4">
        <v>208</v>
      </c>
      <c r="L238" s="4">
        <v>22</v>
      </c>
      <c r="M238" s="4">
        <v>3</v>
      </c>
      <c r="N238" s="4" t="s">
        <v>6</v>
      </c>
      <c r="O238" s="4">
        <v>-1</v>
      </c>
      <c r="P238" s="4"/>
      <c r="Q238" s="4"/>
      <c r="R238" s="4"/>
      <c r="S238" s="4"/>
      <c r="T238" s="4"/>
      <c r="U238" s="4"/>
      <c r="V238" s="4"/>
      <c r="W238" s="4"/>
    </row>
    <row r="239" spans="1:23" x14ac:dyDescent="0.2">
      <c r="A239" s="4">
        <v>50</v>
      </c>
      <c r="B239" s="4">
        <v>0</v>
      </c>
      <c r="C239" s="4">
        <v>0</v>
      </c>
      <c r="D239" s="4">
        <v>1</v>
      </c>
      <c r="E239" s="4">
        <v>209</v>
      </c>
      <c r="F239" s="4">
        <f>ROUND(Source!W215,O239)</f>
        <v>0</v>
      </c>
      <c r="G239" s="4" t="s">
        <v>162</v>
      </c>
      <c r="H239" s="4" t="s">
        <v>163</v>
      </c>
      <c r="I239" s="4"/>
      <c r="J239" s="4"/>
      <c r="K239" s="4">
        <v>209</v>
      </c>
      <c r="L239" s="4">
        <v>23</v>
      </c>
      <c r="M239" s="4">
        <v>3</v>
      </c>
      <c r="N239" s="4" t="s">
        <v>6</v>
      </c>
      <c r="O239" s="4">
        <v>2</v>
      </c>
      <c r="P239" s="4"/>
      <c r="Q239" s="4"/>
      <c r="R239" s="4"/>
      <c r="S239" s="4"/>
      <c r="T239" s="4"/>
      <c r="U239" s="4"/>
      <c r="V239" s="4"/>
      <c r="W239" s="4"/>
    </row>
    <row r="240" spans="1:23" x14ac:dyDescent="0.2">
      <c r="A240" s="4">
        <v>50</v>
      </c>
      <c r="B240" s="4">
        <v>0</v>
      </c>
      <c r="C240" s="4">
        <v>0</v>
      </c>
      <c r="D240" s="4">
        <v>1</v>
      </c>
      <c r="E240" s="4">
        <v>210</v>
      </c>
      <c r="F240" s="4">
        <f>ROUND(Source!X215,O240)</f>
        <v>22283.439999999999</v>
      </c>
      <c r="G240" s="4" t="s">
        <v>164</v>
      </c>
      <c r="H240" s="4" t="s">
        <v>165</v>
      </c>
      <c r="I240" s="4"/>
      <c r="J240" s="4"/>
      <c r="K240" s="4">
        <v>210</v>
      </c>
      <c r="L240" s="4">
        <v>24</v>
      </c>
      <c r="M240" s="4">
        <v>3</v>
      </c>
      <c r="N240" s="4" t="s">
        <v>6</v>
      </c>
      <c r="O240" s="4">
        <v>2</v>
      </c>
      <c r="P240" s="4"/>
      <c r="Q240" s="4"/>
      <c r="R240" s="4"/>
      <c r="S240" s="4"/>
      <c r="T240" s="4"/>
      <c r="U240" s="4"/>
      <c r="V240" s="4"/>
      <c r="W240" s="4"/>
    </row>
    <row r="241" spans="1:245" x14ac:dyDescent="0.2">
      <c r="A241" s="4">
        <v>50</v>
      </c>
      <c r="B241" s="4">
        <v>0</v>
      </c>
      <c r="C241" s="4">
        <v>0</v>
      </c>
      <c r="D241" s="4">
        <v>1</v>
      </c>
      <c r="E241" s="4">
        <v>211</v>
      </c>
      <c r="F241" s="4">
        <f>ROUND(Source!Y215,O241)</f>
        <v>15319.63</v>
      </c>
      <c r="G241" s="4" t="s">
        <v>166</v>
      </c>
      <c r="H241" s="4" t="s">
        <v>167</v>
      </c>
      <c r="I241" s="4"/>
      <c r="J241" s="4"/>
      <c r="K241" s="4">
        <v>211</v>
      </c>
      <c r="L241" s="4">
        <v>25</v>
      </c>
      <c r="M241" s="4">
        <v>3</v>
      </c>
      <c r="N241" s="4" t="s">
        <v>6</v>
      </c>
      <c r="O241" s="4">
        <v>2</v>
      </c>
      <c r="P241" s="4"/>
      <c r="Q241" s="4"/>
      <c r="R241" s="4"/>
      <c r="S241" s="4"/>
      <c r="T241" s="4"/>
      <c r="U241" s="4"/>
      <c r="V241" s="4"/>
      <c r="W241" s="4"/>
    </row>
    <row r="242" spans="1:245" x14ac:dyDescent="0.2">
      <c r="A242" s="4">
        <v>50</v>
      </c>
      <c r="B242" s="4">
        <v>0</v>
      </c>
      <c r="C242" s="4">
        <v>0</v>
      </c>
      <c r="D242" s="4">
        <v>1</v>
      </c>
      <c r="E242" s="4">
        <v>224</v>
      </c>
      <c r="F242" s="4">
        <f>ROUND(Source!AR215,O242)</f>
        <v>285969.46999999997</v>
      </c>
      <c r="G242" s="4" t="s">
        <v>168</v>
      </c>
      <c r="H242" s="4" t="s">
        <v>169</v>
      </c>
      <c r="I242" s="4"/>
      <c r="J242" s="4"/>
      <c r="K242" s="4">
        <v>224</v>
      </c>
      <c r="L242" s="4">
        <v>26</v>
      </c>
      <c r="M242" s="4">
        <v>3</v>
      </c>
      <c r="N242" s="4" t="s">
        <v>6</v>
      </c>
      <c r="O242" s="4">
        <v>2</v>
      </c>
      <c r="P242" s="4"/>
      <c r="Q242" s="4"/>
      <c r="R242" s="4"/>
      <c r="S242" s="4"/>
      <c r="T242" s="4"/>
      <c r="U242" s="4"/>
      <c r="V242" s="4"/>
      <c r="W242" s="4"/>
    </row>
    <row r="244" spans="1:245" x14ac:dyDescent="0.2">
      <c r="A244" s="1">
        <v>4</v>
      </c>
      <c r="B244" s="1">
        <v>1</v>
      </c>
      <c r="C244" s="1"/>
      <c r="D244" s="1">
        <f>ROW(A252)</f>
        <v>252</v>
      </c>
      <c r="E244" s="1"/>
      <c r="F244" s="1" t="s">
        <v>13</v>
      </c>
      <c r="G244" s="1" t="s">
        <v>556</v>
      </c>
      <c r="H244" s="1" t="s">
        <v>6</v>
      </c>
      <c r="I244" s="1">
        <v>0</v>
      </c>
      <c r="J244" s="1"/>
      <c r="K244" s="1">
        <v>0</v>
      </c>
      <c r="L244" s="1"/>
      <c r="M244" s="1"/>
      <c r="N244" s="1"/>
      <c r="O244" s="1"/>
      <c r="P244" s="1"/>
      <c r="Q244" s="1"/>
      <c r="R244" s="1"/>
      <c r="S244" s="1"/>
      <c r="T244" s="1"/>
      <c r="U244" s="1" t="s">
        <v>6</v>
      </c>
      <c r="V244" s="1">
        <v>0</v>
      </c>
      <c r="W244" s="1"/>
      <c r="X244" s="1"/>
      <c r="Y244" s="1"/>
      <c r="Z244" s="1"/>
      <c r="AA244" s="1"/>
      <c r="AB244" s="1" t="s">
        <v>6</v>
      </c>
      <c r="AC244" s="1" t="s">
        <v>6</v>
      </c>
      <c r="AD244" s="1" t="s">
        <v>6</v>
      </c>
      <c r="AE244" s="1" t="s">
        <v>6</v>
      </c>
      <c r="AF244" s="1" t="s">
        <v>6</v>
      </c>
      <c r="AG244" s="1" t="s">
        <v>6</v>
      </c>
      <c r="AH244" s="1"/>
      <c r="AI244" s="1"/>
      <c r="AJ244" s="1"/>
      <c r="AK244" s="1"/>
      <c r="AL244" s="1"/>
      <c r="AM244" s="1"/>
      <c r="AN244" s="1"/>
      <c r="AO244" s="1"/>
      <c r="AP244" s="1" t="s">
        <v>6</v>
      </c>
      <c r="AQ244" s="1" t="s">
        <v>6</v>
      </c>
      <c r="AR244" s="1" t="s">
        <v>6</v>
      </c>
      <c r="AS244" s="1"/>
      <c r="AT244" s="1"/>
      <c r="AU244" s="1"/>
      <c r="AV244" s="1"/>
      <c r="AW244" s="1"/>
      <c r="AX244" s="1"/>
      <c r="AY244" s="1"/>
      <c r="AZ244" s="1" t="s">
        <v>6</v>
      </c>
      <c r="BA244" s="1"/>
      <c r="BB244" s="1" t="s">
        <v>6</v>
      </c>
      <c r="BC244" s="1" t="s">
        <v>6</v>
      </c>
      <c r="BD244" s="1" t="s">
        <v>6</v>
      </c>
      <c r="BE244" s="1" t="s">
        <v>6</v>
      </c>
      <c r="BF244" s="1" t="s">
        <v>6</v>
      </c>
      <c r="BG244" s="1" t="s">
        <v>6</v>
      </c>
      <c r="BH244" s="1" t="s">
        <v>6</v>
      </c>
      <c r="BI244" s="1" t="s">
        <v>6</v>
      </c>
      <c r="BJ244" s="1" t="s">
        <v>6</v>
      </c>
      <c r="BK244" s="1" t="s">
        <v>6</v>
      </c>
      <c r="BL244" s="1" t="s">
        <v>6</v>
      </c>
      <c r="BM244" s="1" t="s">
        <v>6</v>
      </c>
      <c r="BN244" s="1" t="s">
        <v>6</v>
      </c>
      <c r="BO244" s="1" t="s">
        <v>6</v>
      </c>
      <c r="BP244" s="1" t="s">
        <v>6</v>
      </c>
      <c r="BQ244" s="1"/>
      <c r="BR244" s="1"/>
      <c r="BS244" s="1"/>
      <c r="BT244" s="1"/>
      <c r="BU244" s="1"/>
      <c r="BV244" s="1"/>
      <c r="BW244" s="1"/>
      <c r="BX244" s="1">
        <v>0</v>
      </c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>
        <v>0</v>
      </c>
    </row>
    <row r="246" spans="1:245" x14ac:dyDescent="0.2">
      <c r="A246" s="2">
        <v>52</v>
      </c>
      <c r="B246" s="2">
        <f t="shared" ref="B246:G246" si="251">B252</f>
        <v>1</v>
      </c>
      <c r="C246" s="2">
        <f t="shared" si="251"/>
        <v>4</v>
      </c>
      <c r="D246" s="2">
        <f t="shared" si="251"/>
        <v>244</v>
      </c>
      <c r="E246" s="2">
        <f t="shared" si="251"/>
        <v>0</v>
      </c>
      <c r="F246" s="2" t="str">
        <f t="shared" si="251"/>
        <v>Новый раздел</v>
      </c>
      <c r="G246" s="2" t="str">
        <f t="shared" si="251"/>
        <v>Пусконаладочные работы</v>
      </c>
      <c r="H246" s="2"/>
      <c r="I246" s="2"/>
      <c r="J246" s="2"/>
      <c r="K246" s="2"/>
      <c r="L246" s="2"/>
      <c r="M246" s="2"/>
      <c r="N246" s="2"/>
      <c r="O246" s="2">
        <f t="shared" ref="O246:AT246" si="252">O252</f>
        <v>22557.55</v>
      </c>
      <c r="P246" s="2">
        <f t="shared" si="252"/>
        <v>0</v>
      </c>
      <c r="Q246" s="2">
        <f t="shared" si="252"/>
        <v>0</v>
      </c>
      <c r="R246" s="2">
        <f t="shared" si="252"/>
        <v>0</v>
      </c>
      <c r="S246" s="2">
        <f t="shared" si="252"/>
        <v>22557.55</v>
      </c>
      <c r="T246" s="2">
        <f t="shared" si="252"/>
        <v>0</v>
      </c>
      <c r="U246" s="2">
        <f t="shared" si="252"/>
        <v>91.391999999999996</v>
      </c>
      <c r="V246" s="2">
        <f t="shared" si="252"/>
        <v>0</v>
      </c>
      <c r="W246" s="2">
        <f t="shared" si="252"/>
        <v>0</v>
      </c>
      <c r="X246" s="2">
        <f t="shared" si="252"/>
        <v>14662.41</v>
      </c>
      <c r="Y246" s="2">
        <f t="shared" si="252"/>
        <v>9023.02</v>
      </c>
      <c r="Z246" s="2">
        <f t="shared" si="252"/>
        <v>0</v>
      </c>
      <c r="AA246" s="2">
        <f t="shared" si="252"/>
        <v>0</v>
      </c>
      <c r="AB246" s="2">
        <f t="shared" si="252"/>
        <v>22557.55</v>
      </c>
      <c r="AC246" s="2">
        <f t="shared" si="252"/>
        <v>0</v>
      </c>
      <c r="AD246" s="2">
        <f t="shared" si="252"/>
        <v>0</v>
      </c>
      <c r="AE246" s="2">
        <f t="shared" si="252"/>
        <v>0</v>
      </c>
      <c r="AF246" s="2">
        <f t="shared" si="252"/>
        <v>22557.55</v>
      </c>
      <c r="AG246" s="2">
        <f t="shared" si="252"/>
        <v>0</v>
      </c>
      <c r="AH246" s="2">
        <f t="shared" si="252"/>
        <v>91.391999999999996</v>
      </c>
      <c r="AI246" s="2">
        <f t="shared" si="252"/>
        <v>0</v>
      </c>
      <c r="AJ246" s="2">
        <f t="shared" si="252"/>
        <v>0</v>
      </c>
      <c r="AK246" s="2">
        <f t="shared" si="252"/>
        <v>14662.41</v>
      </c>
      <c r="AL246" s="2">
        <f t="shared" si="252"/>
        <v>9023.02</v>
      </c>
      <c r="AM246" s="2">
        <f t="shared" si="252"/>
        <v>0</v>
      </c>
      <c r="AN246" s="2">
        <f t="shared" si="252"/>
        <v>0</v>
      </c>
      <c r="AO246" s="2">
        <f t="shared" si="252"/>
        <v>0</v>
      </c>
      <c r="AP246" s="2">
        <f t="shared" si="252"/>
        <v>0</v>
      </c>
      <c r="AQ246" s="2">
        <f t="shared" si="252"/>
        <v>0</v>
      </c>
      <c r="AR246" s="2">
        <f t="shared" si="252"/>
        <v>46242.98</v>
      </c>
      <c r="AS246" s="2">
        <f t="shared" si="252"/>
        <v>0</v>
      </c>
      <c r="AT246" s="2">
        <f t="shared" si="252"/>
        <v>0</v>
      </c>
      <c r="AU246" s="2">
        <f t="shared" ref="AU246:BZ246" si="253">AU252</f>
        <v>46242.98</v>
      </c>
      <c r="AV246" s="2">
        <f t="shared" si="253"/>
        <v>0</v>
      </c>
      <c r="AW246" s="2">
        <f t="shared" si="253"/>
        <v>0</v>
      </c>
      <c r="AX246" s="2">
        <f t="shared" si="253"/>
        <v>0</v>
      </c>
      <c r="AY246" s="2">
        <f t="shared" si="253"/>
        <v>0</v>
      </c>
      <c r="AZ246" s="2">
        <f t="shared" si="253"/>
        <v>0</v>
      </c>
      <c r="BA246" s="2">
        <f t="shared" si="253"/>
        <v>0</v>
      </c>
      <c r="BB246" s="2">
        <f t="shared" si="253"/>
        <v>0</v>
      </c>
      <c r="BC246" s="2">
        <f t="shared" si="253"/>
        <v>0</v>
      </c>
      <c r="BD246" s="2">
        <f t="shared" si="253"/>
        <v>0</v>
      </c>
      <c r="BE246" s="2">
        <f t="shared" si="253"/>
        <v>0</v>
      </c>
      <c r="BF246" s="2">
        <f t="shared" si="253"/>
        <v>0</v>
      </c>
      <c r="BG246" s="2">
        <f t="shared" si="253"/>
        <v>0</v>
      </c>
      <c r="BH246" s="2">
        <f t="shared" si="253"/>
        <v>0</v>
      </c>
      <c r="BI246" s="2">
        <f t="shared" si="253"/>
        <v>0</v>
      </c>
      <c r="BJ246" s="2">
        <f t="shared" si="253"/>
        <v>0</v>
      </c>
      <c r="BK246" s="2">
        <f t="shared" si="253"/>
        <v>0</v>
      </c>
      <c r="BL246" s="2">
        <f t="shared" si="253"/>
        <v>0</v>
      </c>
      <c r="BM246" s="2">
        <f t="shared" si="253"/>
        <v>0</v>
      </c>
      <c r="BN246" s="2">
        <f t="shared" si="253"/>
        <v>0</v>
      </c>
      <c r="BO246" s="2">
        <f t="shared" si="253"/>
        <v>0</v>
      </c>
      <c r="BP246" s="2">
        <f t="shared" si="253"/>
        <v>0</v>
      </c>
      <c r="BQ246" s="2">
        <f t="shared" si="253"/>
        <v>0</v>
      </c>
      <c r="BR246" s="2">
        <f t="shared" si="253"/>
        <v>0</v>
      </c>
      <c r="BS246" s="2">
        <f t="shared" si="253"/>
        <v>0</v>
      </c>
      <c r="BT246" s="2">
        <f t="shared" si="253"/>
        <v>0</v>
      </c>
      <c r="BU246" s="2">
        <f t="shared" si="253"/>
        <v>0</v>
      </c>
      <c r="BV246" s="2">
        <f t="shared" si="253"/>
        <v>0</v>
      </c>
      <c r="BW246" s="2">
        <f t="shared" si="253"/>
        <v>0</v>
      </c>
      <c r="BX246" s="2">
        <f t="shared" si="253"/>
        <v>0</v>
      </c>
      <c r="BY246" s="2">
        <f t="shared" si="253"/>
        <v>0</v>
      </c>
      <c r="BZ246" s="2">
        <f t="shared" si="253"/>
        <v>0</v>
      </c>
      <c r="CA246" s="2">
        <f t="shared" ref="CA246:DF246" si="254">CA252</f>
        <v>46242.98</v>
      </c>
      <c r="CB246" s="2">
        <f t="shared" si="254"/>
        <v>0</v>
      </c>
      <c r="CC246" s="2">
        <f t="shared" si="254"/>
        <v>0</v>
      </c>
      <c r="CD246" s="2">
        <f t="shared" si="254"/>
        <v>46242.98</v>
      </c>
      <c r="CE246" s="2">
        <f t="shared" si="254"/>
        <v>0</v>
      </c>
      <c r="CF246" s="2">
        <f t="shared" si="254"/>
        <v>0</v>
      </c>
      <c r="CG246" s="2">
        <f t="shared" si="254"/>
        <v>0</v>
      </c>
      <c r="CH246" s="2">
        <f t="shared" si="254"/>
        <v>0</v>
      </c>
      <c r="CI246" s="2">
        <f t="shared" si="254"/>
        <v>0</v>
      </c>
      <c r="CJ246" s="2">
        <f t="shared" si="254"/>
        <v>0</v>
      </c>
      <c r="CK246" s="2">
        <f t="shared" si="254"/>
        <v>0</v>
      </c>
      <c r="CL246" s="2">
        <f t="shared" si="254"/>
        <v>0</v>
      </c>
      <c r="CM246" s="2">
        <f t="shared" si="254"/>
        <v>0</v>
      </c>
      <c r="CN246" s="2">
        <f t="shared" si="254"/>
        <v>0</v>
      </c>
      <c r="CO246" s="2">
        <f t="shared" si="254"/>
        <v>0</v>
      </c>
      <c r="CP246" s="2">
        <f t="shared" si="254"/>
        <v>0</v>
      </c>
      <c r="CQ246" s="2">
        <f t="shared" si="254"/>
        <v>0</v>
      </c>
      <c r="CR246" s="2">
        <f t="shared" si="254"/>
        <v>0</v>
      </c>
      <c r="CS246" s="2">
        <f t="shared" si="254"/>
        <v>0</v>
      </c>
      <c r="CT246" s="2">
        <f t="shared" si="254"/>
        <v>0</v>
      </c>
      <c r="CU246" s="2">
        <f t="shared" si="254"/>
        <v>0</v>
      </c>
      <c r="CV246" s="2">
        <f t="shared" si="254"/>
        <v>0</v>
      </c>
      <c r="CW246" s="2">
        <f t="shared" si="254"/>
        <v>0</v>
      </c>
      <c r="CX246" s="2">
        <f t="shared" si="254"/>
        <v>0</v>
      </c>
      <c r="CY246" s="2">
        <f t="shared" si="254"/>
        <v>0</v>
      </c>
      <c r="CZ246" s="2">
        <f t="shared" si="254"/>
        <v>0</v>
      </c>
      <c r="DA246" s="2">
        <f t="shared" si="254"/>
        <v>0</v>
      </c>
      <c r="DB246" s="2">
        <f t="shared" si="254"/>
        <v>0</v>
      </c>
      <c r="DC246" s="2">
        <f t="shared" si="254"/>
        <v>0</v>
      </c>
      <c r="DD246" s="2">
        <f t="shared" si="254"/>
        <v>0</v>
      </c>
      <c r="DE246" s="2">
        <f t="shared" si="254"/>
        <v>0</v>
      </c>
      <c r="DF246" s="2">
        <f t="shared" si="254"/>
        <v>0</v>
      </c>
      <c r="DG246" s="3">
        <f t="shared" ref="DG246:EL246" si="255">DG252</f>
        <v>0</v>
      </c>
      <c r="DH246" s="3">
        <f t="shared" si="255"/>
        <v>0</v>
      </c>
      <c r="DI246" s="3">
        <f t="shared" si="255"/>
        <v>0</v>
      </c>
      <c r="DJ246" s="3">
        <f t="shared" si="255"/>
        <v>0</v>
      </c>
      <c r="DK246" s="3">
        <f t="shared" si="255"/>
        <v>0</v>
      </c>
      <c r="DL246" s="3">
        <f t="shared" si="255"/>
        <v>0</v>
      </c>
      <c r="DM246" s="3">
        <f t="shared" si="255"/>
        <v>0</v>
      </c>
      <c r="DN246" s="3">
        <f t="shared" si="255"/>
        <v>0</v>
      </c>
      <c r="DO246" s="3">
        <f t="shared" si="255"/>
        <v>0</v>
      </c>
      <c r="DP246" s="3">
        <f t="shared" si="255"/>
        <v>0</v>
      </c>
      <c r="DQ246" s="3">
        <f t="shared" si="255"/>
        <v>0</v>
      </c>
      <c r="DR246" s="3">
        <f t="shared" si="255"/>
        <v>0</v>
      </c>
      <c r="DS246" s="3">
        <f t="shared" si="255"/>
        <v>0</v>
      </c>
      <c r="DT246" s="3">
        <f t="shared" si="255"/>
        <v>0</v>
      </c>
      <c r="DU246" s="3">
        <f t="shared" si="255"/>
        <v>0</v>
      </c>
      <c r="DV246" s="3">
        <f t="shared" si="255"/>
        <v>0</v>
      </c>
      <c r="DW246" s="3">
        <f t="shared" si="255"/>
        <v>0</v>
      </c>
      <c r="DX246" s="3">
        <f t="shared" si="255"/>
        <v>0</v>
      </c>
      <c r="DY246" s="3">
        <f t="shared" si="255"/>
        <v>0</v>
      </c>
      <c r="DZ246" s="3">
        <f t="shared" si="255"/>
        <v>0</v>
      </c>
      <c r="EA246" s="3">
        <f t="shared" si="255"/>
        <v>0</v>
      </c>
      <c r="EB246" s="3">
        <f t="shared" si="255"/>
        <v>0</v>
      </c>
      <c r="EC246" s="3">
        <f t="shared" si="255"/>
        <v>0</v>
      </c>
      <c r="ED246" s="3">
        <f t="shared" si="255"/>
        <v>0</v>
      </c>
      <c r="EE246" s="3">
        <f t="shared" si="255"/>
        <v>0</v>
      </c>
      <c r="EF246" s="3">
        <f t="shared" si="255"/>
        <v>0</v>
      </c>
      <c r="EG246" s="3">
        <f t="shared" si="255"/>
        <v>0</v>
      </c>
      <c r="EH246" s="3">
        <f t="shared" si="255"/>
        <v>0</v>
      </c>
      <c r="EI246" s="3">
        <f t="shared" si="255"/>
        <v>0</v>
      </c>
      <c r="EJ246" s="3">
        <f t="shared" si="255"/>
        <v>0</v>
      </c>
      <c r="EK246" s="3">
        <f t="shared" si="255"/>
        <v>0</v>
      </c>
      <c r="EL246" s="3">
        <f t="shared" si="255"/>
        <v>0</v>
      </c>
      <c r="EM246" s="3">
        <f t="shared" ref="EM246:FR246" si="256">EM252</f>
        <v>0</v>
      </c>
      <c r="EN246" s="3">
        <f t="shared" si="256"/>
        <v>0</v>
      </c>
      <c r="EO246" s="3">
        <f t="shared" si="256"/>
        <v>0</v>
      </c>
      <c r="EP246" s="3">
        <f t="shared" si="256"/>
        <v>0</v>
      </c>
      <c r="EQ246" s="3">
        <f t="shared" si="256"/>
        <v>0</v>
      </c>
      <c r="ER246" s="3">
        <f t="shared" si="256"/>
        <v>0</v>
      </c>
      <c r="ES246" s="3">
        <f t="shared" si="256"/>
        <v>0</v>
      </c>
      <c r="ET246" s="3">
        <f t="shared" si="256"/>
        <v>0</v>
      </c>
      <c r="EU246" s="3">
        <f t="shared" si="256"/>
        <v>0</v>
      </c>
      <c r="EV246" s="3">
        <f t="shared" si="256"/>
        <v>0</v>
      </c>
      <c r="EW246" s="3">
        <f t="shared" si="256"/>
        <v>0</v>
      </c>
      <c r="EX246" s="3">
        <f t="shared" si="256"/>
        <v>0</v>
      </c>
      <c r="EY246" s="3">
        <f t="shared" si="256"/>
        <v>0</v>
      </c>
      <c r="EZ246" s="3">
        <f t="shared" si="256"/>
        <v>0</v>
      </c>
      <c r="FA246" s="3">
        <f t="shared" si="256"/>
        <v>0</v>
      </c>
      <c r="FB246" s="3">
        <f t="shared" si="256"/>
        <v>0</v>
      </c>
      <c r="FC246" s="3">
        <f t="shared" si="256"/>
        <v>0</v>
      </c>
      <c r="FD246" s="3">
        <f t="shared" si="256"/>
        <v>0</v>
      </c>
      <c r="FE246" s="3">
        <f t="shared" si="256"/>
        <v>0</v>
      </c>
      <c r="FF246" s="3">
        <f t="shared" si="256"/>
        <v>0</v>
      </c>
      <c r="FG246" s="3">
        <f t="shared" si="256"/>
        <v>0</v>
      </c>
      <c r="FH246" s="3">
        <f t="shared" si="256"/>
        <v>0</v>
      </c>
      <c r="FI246" s="3">
        <f t="shared" si="256"/>
        <v>0</v>
      </c>
      <c r="FJ246" s="3">
        <f t="shared" si="256"/>
        <v>0</v>
      </c>
      <c r="FK246" s="3">
        <f t="shared" si="256"/>
        <v>0</v>
      </c>
      <c r="FL246" s="3">
        <f t="shared" si="256"/>
        <v>0</v>
      </c>
      <c r="FM246" s="3">
        <f t="shared" si="256"/>
        <v>0</v>
      </c>
      <c r="FN246" s="3">
        <f t="shared" si="256"/>
        <v>0</v>
      </c>
      <c r="FO246" s="3">
        <f t="shared" si="256"/>
        <v>0</v>
      </c>
      <c r="FP246" s="3">
        <f t="shared" si="256"/>
        <v>0</v>
      </c>
      <c r="FQ246" s="3">
        <f t="shared" si="256"/>
        <v>0</v>
      </c>
      <c r="FR246" s="3">
        <f t="shared" si="256"/>
        <v>0</v>
      </c>
      <c r="FS246" s="3">
        <f t="shared" ref="FS246:GX246" si="257">FS252</f>
        <v>0</v>
      </c>
      <c r="FT246" s="3">
        <f t="shared" si="257"/>
        <v>0</v>
      </c>
      <c r="FU246" s="3">
        <f t="shared" si="257"/>
        <v>0</v>
      </c>
      <c r="FV246" s="3">
        <f t="shared" si="257"/>
        <v>0</v>
      </c>
      <c r="FW246" s="3">
        <f t="shared" si="257"/>
        <v>0</v>
      </c>
      <c r="FX246" s="3">
        <f t="shared" si="257"/>
        <v>0</v>
      </c>
      <c r="FY246" s="3">
        <f t="shared" si="257"/>
        <v>0</v>
      </c>
      <c r="FZ246" s="3">
        <f t="shared" si="257"/>
        <v>0</v>
      </c>
      <c r="GA246" s="3">
        <f t="shared" si="257"/>
        <v>0</v>
      </c>
      <c r="GB246" s="3">
        <f t="shared" si="257"/>
        <v>0</v>
      </c>
      <c r="GC246" s="3">
        <f t="shared" si="257"/>
        <v>0</v>
      </c>
      <c r="GD246" s="3">
        <f t="shared" si="257"/>
        <v>0</v>
      </c>
      <c r="GE246" s="3">
        <f t="shared" si="257"/>
        <v>0</v>
      </c>
      <c r="GF246" s="3">
        <f t="shared" si="257"/>
        <v>0</v>
      </c>
      <c r="GG246" s="3">
        <f t="shared" si="257"/>
        <v>0</v>
      </c>
      <c r="GH246" s="3">
        <f t="shared" si="257"/>
        <v>0</v>
      </c>
      <c r="GI246" s="3">
        <f t="shared" si="257"/>
        <v>0</v>
      </c>
      <c r="GJ246" s="3">
        <f t="shared" si="257"/>
        <v>0</v>
      </c>
      <c r="GK246" s="3">
        <f t="shared" si="257"/>
        <v>0</v>
      </c>
      <c r="GL246" s="3">
        <f t="shared" si="257"/>
        <v>0</v>
      </c>
      <c r="GM246" s="3">
        <f t="shared" si="257"/>
        <v>0</v>
      </c>
      <c r="GN246" s="3">
        <f t="shared" si="257"/>
        <v>0</v>
      </c>
      <c r="GO246" s="3">
        <f t="shared" si="257"/>
        <v>0</v>
      </c>
      <c r="GP246" s="3">
        <f t="shared" si="257"/>
        <v>0</v>
      </c>
      <c r="GQ246" s="3">
        <f t="shared" si="257"/>
        <v>0</v>
      </c>
      <c r="GR246" s="3">
        <f t="shared" si="257"/>
        <v>0</v>
      </c>
      <c r="GS246" s="3">
        <f t="shared" si="257"/>
        <v>0</v>
      </c>
      <c r="GT246" s="3">
        <f t="shared" si="257"/>
        <v>0</v>
      </c>
      <c r="GU246" s="3">
        <f t="shared" si="257"/>
        <v>0</v>
      </c>
      <c r="GV246" s="3">
        <f t="shared" si="257"/>
        <v>0</v>
      </c>
      <c r="GW246" s="3">
        <f t="shared" si="257"/>
        <v>0</v>
      </c>
      <c r="GX246" s="3">
        <f t="shared" si="257"/>
        <v>0</v>
      </c>
    </row>
    <row r="248" spans="1:245" x14ac:dyDescent="0.2">
      <c r="A248">
        <v>17</v>
      </c>
      <c r="B248">
        <v>1</v>
      </c>
      <c r="C248">
        <f>ROW(SmtRes!A357)</f>
        <v>357</v>
      </c>
      <c r="D248">
        <f>ROW(EtalonRes!A327)</f>
        <v>327</v>
      </c>
      <c r="E248" t="s">
        <v>557</v>
      </c>
      <c r="F248" t="s">
        <v>558</v>
      </c>
      <c r="G248" t="s">
        <v>559</v>
      </c>
      <c r="H248" t="s">
        <v>45</v>
      </c>
      <c r="I248">
        <v>42</v>
      </c>
      <c r="J248">
        <v>0</v>
      </c>
      <c r="O248">
        <f>ROUND(CP248,2)</f>
        <v>2671.17</v>
      </c>
      <c r="P248">
        <f>ROUND(CQ248*I248,2)</f>
        <v>0</v>
      </c>
      <c r="Q248">
        <f>ROUND(CR248*I248,2)</f>
        <v>0</v>
      </c>
      <c r="R248">
        <f>ROUND(CS248*I248,2)</f>
        <v>0</v>
      </c>
      <c r="S248">
        <f>ROUND(CT248*I248,2)</f>
        <v>2671.17</v>
      </c>
      <c r="T248">
        <f>ROUND(CU248*I248,2)</f>
        <v>0</v>
      </c>
      <c r="U248">
        <f>CV248*I248</f>
        <v>10.752000000000001</v>
      </c>
      <c r="V248">
        <f>CW248*I248</f>
        <v>0</v>
      </c>
      <c r="W248">
        <f>ROUND(CX248*I248,2)</f>
        <v>0</v>
      </c>
      <c r="X248">
        <f t="shared" ref="X248:Y250" si="258">ROUND(CY248,2)</f>
        <v>1736.26</v>
      </c>
      <c r="Y248">
        <f t="shared" si="258"/>
        <v>1068.47</v>
      </c>
      <c r="AA248">
        <v>16808636</v>
      </c>
      <c r="AB248">
        <f>ROUND((AC248+AD248+AF248),2)</f>
        <v>3.28</v>
      </c>
      <c r="AC248">
        <f>ROUND((ES248),2)</f>
        <v>0</v>
      </c>
      <c r="AD248">
        <f>ROUND((((ET248)-(EU248))+AE248),2)</f>
        <v>0</v>
      </c>
      <c r="AE248">
        <f>ROUND((EU248),2)</f>
        <v>0</v>
      </c>
      <c r="AF248">
        <f>ROUND(((EV248*0.8)),2)</f>
        <v>3.28</v>
      </c>
      <c r="AG248">
        <f>ROUND((AP248),2)</f>
        <v>0</v>
      </c>
      <c r="AH248">
        <f>((EW248*0.8))</f>
        <v>0.25600000000000001</v>
      </c>
      <c r="AI248">
        <f>(EX248)</f>
        <v>0</v>
      </c>
      <c r="AJ248">
        <f>(AS248)</f>
        <v>0</v>
      </c>
      <c r="AK248">
        <v>4.0999999999999996</v>
      </c>
      <c r="AL248">
        <v>0</v>
      </c>
      <c r="AM248">
        <v>0</v>
      </c>
      <c r="AN248">
        <v>0</v>
      </c>
      <c r="AO248">
        <v>4.0999999999999996</v>
      </c>
      <c r="AP248">
        <v>0</v>
      </c>
      <c r="AQ248">
        <v>0.32</v>
      </c>
      <c r="AR248">
        <v>0</v>
      </c>
      <c r="AS248">
        <v>0</v>
      </c>
      <c r="AT248">
        <v>65</v>
      </c>
      <c r="AU248">
        <v>40</v>
      </c>
      <c r="AV248">
        <v>1</v>
      </c>
      <c r="AW248">
        <v>1</v>
      </c>
      <c r="AZ248">
        <v>19.39</v>
      </c>
      <c r="BA248">
        <v>19.39</v>
      </c>
      <c r="BB248">
        <v>1</v>
      </c>
      <c r="BC248">
        <v>1</v>
      </c>
      <c r="BD248" t="s">
        <v>6</v>
      </c>
      <c r="BE248" t="s">
        <v>6</v>
      </c>
      <c r="BF248" t="s">
        <v>6</v>
      </c>
      <c r="BG248" t="s">
        <v>6</v>
      </c>
      <c r="BH248">
        <v>0</v>
      </c>
      <c r="BI248">
        <v>4</v>
      </c>
      <c r="BJ248" t="s">
        <v>560</v>
      </c>
      <c r="BM248">
        <v>200001</v>
      </c>
      <c r="BN248">
        <v>0</v>
      </c>
      <c r="BO248" t="s">
        <v>6</v>
      </c>
      <c r="BP248">
        <v>0</v>
      </c>
      <c r="BQ248">
        <v>4</v>
      </c>
      <c r="BR248">
        <v>0</v>
      </c>
      <c r="BS248">
        <v>1</v>
      </c>
      <c r="BT248">
        <v>1</v>
      </c>
      <c r="BU248">
        <v>1</v>
      </c>
      <c r="BV248">
        <v>1</v>
      </c>
      <c r="BW248">
        <v>1</v>
      </c>
      <c r="BX248">
        <v>1</v>
      </c>
      <c r="BY248" t="s">
        <v>6</v>
      </c>
      <c r="BZ248">
        <v>65</v>
      </c>
      <c r="CA248">
        <v>40</v>
      </c>
      <c r="CE248">
        <v>0</v>
      </c>
      <c r="CF248">
        <v>0</v>
      </c>
      <c r="CG248">
        <v>0</v>
      </c>
      <c r="CM248">
        <v>0</v>
      </c>
      <c r="CN248" t="s">
        <v>561</v>
      </c>
      <c r="CO248">
        <v>0</v>
      </c>
      <c r="CP248">
        <f>(P248+Q248+S248)</f>
        <v>2671.17</v>
      </c>
      <c r="CQ248">
        <f>AC248*BC248</f>
        <v>0</v>
      </c>
      <c r="CR248">
        <f>AD248*BB248</f>
        <v>0</v>
      </c>
      <c r="CS248">
        <f>AE248*BS248</f>
        <v>0</v>
      </c>
      <c r="CT248">
        <f>AF248*BA248</f>
        <v>63.599199999999996</v>
      </c>
      <c r="CU248">
        <f t="shared" ref="CU248:CX250" si="259">AG248</f>
        <v>0</v>
      </c>
      <c r="CV248">
        <f t="shared" si="259"/>
        <v>0.25600000000000001</v>
      </c>
      <c r="CW248">
        <f t="shared" si="259"/>
        <v>0</v>
      </c>
      <c r="CX248">
        <f t="shared" si="259"/>
        <v>0</v>
      </c>
      <c r="CY248">
        <f>(((S248+R248)*AT248)/100)</f>
        <v>1736.2605000000001</v>
      </c>
      <c r="CZ248">
        <f>(((S248+R248)*AU248)/100)</f>
        <v>1068.4680000000001</v>
      </c>
      <c r="DC248" t="s">
        <v>6</v>
      </c>
      <c r="DD248" t="s">
        <v>6</v>
      </c>
      <c r="DE248" t="s">
        <v>6</v>
      </c>
      <c r="DF248" t="s">
        <v>6</v>
      </c>
      <c r="DG248" t="s">
        <v>82</v>
      </c>
      <c r="DH248" t="s">
        <v>6</v>
      </c>
      <c r="DI248" t="s">
        <v>82</v>
      </c>
      <c r="DJ248" t="s">
        <v>6</v>
      </c>
      <c r="DK248" t="s">
        <v>6</v>
      </c>
      <c r="DL248" t="s">
        <v>6</v>
      </c>
      <c r="DM248" t="s">
        <v>6</v>
      </c>
      <c r="DN248">
        <v>0</v>
      </c>
      <c r="DO248">
        <v>0</v>
      </c>
      <c r="DP248">
        <v>1</v>
      </c>
      <c r="DQ248">
        <v>1</v>
      </c>
      <c r="DU248">
        <v>1013</v>
      </c>
      <c r="DV248" t="s">
        <v>45</v>
      </c>
      <c r="DW248" t="s">
        <v>45</v>
      </c>
      <c r="DX248">
        <v>1</v>
      </c>
      <c r="EE248">
        <v>16510412</v>
      </c>
      <c r="EF248">
        <v>4</v>
      </c>
      <c r="EG248" t="s">
        <v>556</v>
      </c>
      <c r="EH248">
        <v>0</v>
      </c>
      <c r="EI248" t="s">
        <v>6</v>
      </c>
      <c r="EJ248">
        <v>4</v>
      </c>
      <c r="EK248">
        <v>200001</v>
      </c>
      <c r="EL248" t="s">
        <v>562</v>
      </c>
      <c r="EM248" t="s">
        <v>563</v>
      </c>
      <c r="EO248" t="s">
        <v>564</v>
      </c>
      <c r="EQ248">
        <v>131072</v>
      </c>
      <c r="ER248">
        <v>4.0999999999999996</v>
      </c>
      <c r="ES248">
        <v>0</v>
      </c>
      <c r="ET248">
        <v>0</v>
      </c>
      <c r="EU248">
        <v>0</v>
      </c>
      <c r="EV248">
        <v>4.0999999999999996</v>
      </c>
      <c r="EW248">
        <v>0.32</v>
      </c>
      <c r="EX248">
        <v>0</v>
      </c>
      <c r="EY248">
        <v>0</v>
      </c>
      <c r="FQ248">
        <v>0</v>
      </c>
      <c r="FR248">
        <f>ROUND(IF(AND(BH248=3,BI248=3),P248,0),2)</f>
        <v>0</v>
      </c>
      <c r="FS248">
        <v>0</v>
      </c>
      <c r="FX248">
        <v>65</v>
      </c>
      <c r="FY248">
        <v>40</v>
      </c>
      <c r="GA248" t="s">
        <v>6</v>
      </c>
      <c r="GD248">
        <v>0</v>
      </c>
      <c r="GF248">
        <v>-1617765494</v>
      </c>
      <c r="GG248">
        <v>1</v>
      </c>
      <c r="GH248">
        <v>1</v>
      </c>
      <c r="GI248">
        <v>4</v>
      </c>
      <c r="GJ248">
        <v>0</v>
      </c>
      <c r="GK248">
        <f>ROUND(R248*(R12)/100,2)</f>
        <v>0</v>
      </c>
      <c r="GL248">
        <f>ROUND(IF(AND(BH248=3,BI248=3,FS248&lt;&gt;0),P248,0),2)</f>
        <v>0</v>
      </c>
      <c r="GM248">
        <f>ROUND(O248+X248+Y248+GK248,2)+GX248</f>
        <v>5475.9</v>
      </c>
      <c r="GN248">
        <f>IF(OR(BI248=0,BI248=1),ROUND(O248+X248+Y248+GK248,2),0)</f>
        <v>0</v>
      </c>
      <c r="GO248">
        <f>IF(BI248=2,ROUND(O248+X248+Y248+GK248,2),0)</f>
        <v>0</v>
      </c>
      <c r="GP248">
        <f>IF(BI248=4,ROUND(O248+X248+Y248+GK248,2)+GX248,0)</f>
        <v>5475.9</v>
      </c>
      <c r="GR248">
        <v>0</v>
      </c>
      <c r="GS248">
        <v>3</v>
      </c>
      <c r="GT248">
        <v>0</v>
      </c>
      <c r="GU248" t="s">
        <v>6</v>
      </c>
      <c r="GV248">
        <f>ROUND((GT248),2)</f>
        <v>0</v>
      </c>
      <c r="GW248">
        <v>1</v>
      </c>
      <c r="GX248">
        <f>ROUND(HC248*I248,2)</f>
        <v>0</v>
      </c>
      <c r="HA248">
        <v>0</v>
      </c>
      <c r="HB248">
        <v>0</v>
      </c>
      <c r="HC248">
        <f>GV248*GW248</f>
        <v>0</v>
      </c>
      <c r="IK248">
        <v>0</v>
      </c>
    </row>
    <row r="249" spans="1:245" x14ac:dyDescent="0.2">
      <c r="A249">
        <v>17</v>
      </c>
      <c r="B249">
        <v>1</v>
      </c>
      <c r="C249">
        <f>ROW(SmtRes!A359)</f>
        <v>359</v>
      </c>
      <c r="D249">
        <f>ROW(EtalonRes!A329)</f>
        <v>329</v>
      </c>
      <c r="E249" t="s">
        <v>565</v>
      </c>
      <c r="F249" t="s">
        <v>566</v>
      </c>
      <c r="G249" t="s">
        <v>567</v>
      </c>
      <c r="H249" t="s">
        <v>568</v>
      </c>
      <c r="I249">
        <v>8</v>
      </c>
      <c r="J249">
        <v>0</v>
      </c>
      <c r="O249">
        <f>ROUND(CP249,2)</f>
        <v>2435.38</v>
      </c>
      <c r="P249">
        <f>ROUND(CQ249*I249,2)</f>
        <v>0</v>
      </c>
      <c r="Q249">
        <f>ROUND(CR249*I249,2)</f>
        <v>0</v>
      </c>
      <c r="R249">
        <f>ROUND(CS249*I249,2)</f>
        <v>0</v>
      </c>
      <c r="S249">
        <f>ROUND(CT249*I249,2)</f>
        <v>2435.38</v>
      </c>
      <c r="T249">
        <f>ROUND(CU249*I249,2)</f>
        <v>0</v>
      </c>
      <c r="U249">
        <f>CV249*I249</f>
        <v>10.368000000000002</v>
      </c>
      <c r="V249">
        <f>CW249*I249</f>
        <v>0</v>
      </c>
      <c r="W249">
        <f>ROUND(CX249*I249,2)</f>
        <v>0</v>
      </c>
      <c r="X249">
        <f t="shared" si="258"/>
        <v>1583</v>
      </c>
      <c r="Y249">
        <f t="shared" si="258"/>
        <v>974.15</v>
      </c>
      <c r="AA249">
        <v>16808636</v>
      </c>
      <c r="AB249">
        <f>ROUND((AC249+AD249+AF249),2)</f>
        <v>15.7</v>
      </c>
      <c r="AC249">
        <f>ROUND((ES249),2)</f>
        <v>0</v>
      </c>
      <c r="AD249">
        <f>ROUND((((ET249)-(EU249))+AE249),2)</f>
        <v>0</v>
      </c>
      <c r="AE249">
        <f>ROUND((EU249),2)</f>
        <v>0</v>
      </c>
      <c r="AF249">
        <f>ROUND(((EV249*0.8)),2)</f>
        <v>15.7</v>
      </c>
      <c r="AG249">
        <f>ROUND((AP249),2)</f>
        <v>0</v>
      </c>
      <c r="AH249">
        <f>((EW249*0.8))</f>
        <v>1.2960000000000003</v>
      </c>
      <c r="AI249">
        <f>(EX249)</f>
        <v>0</v>
      </c>
      <c r="AJ249">
        <f>(AS249)</f>
        <v>0</v>
      </c>
      <c r="AK249">
        <v>19.63</v>
      </c>
      <c r="AL249">
        <v>0</v>
      </c>
      <c r="AM249">
        <v>0</v>
      </c>
      <c r="AN249">
        <v>0</v>
      </c>
      <c r="AO249">
        <v>19.63</v>
      </c>
      <c r="AP249">
        <v>0</v>
      </c>
      <c r="AQ249">
        <v>1.62</v>
      </c>
      <c r="AR249">
        <v>0</v>
      </c>
      <c r="AS249">
        <v>0</v>
      </c>
      <c r="AT249">
        <v>65</v>
      </c>
      <c r="AU249">
        <v>40</v>
      </c>
      <c r="AV249">
        <v>1</v>
      </c>
      <c r="AW249">
        <v>1</v>
      </c>
      <c r="AZ249">
        <v>19.39</v>
      </c>
      <c r="BA249">
        <v>19.39</v>
      </c>
      <c r="BB249">
        <v>1</v>
      </c>
      <c r="BC249">
        <v>1</v>
      </c>
      <c r="BD249" t="s">
        <v>6</v>
      </c>
      <c r="BE249" t="s">
        <v>6</v>
      </c>
      <c r="BF249" t="s">
        <v>6</v>
      </c>
      <c r="BG249" t="s">
        <v>6</v>
      </c>
      <c r="BH249">
        <v>0</v>
      </c>
      <c r="BI249">
        <v>4</v>
      </c>
      <c r="BJ249" t="s">
        <v>569</v>
      </c>
      <c r="BM249">
        <v>200001</v>
      </c>
      <c r="BN249">
        <v>0</v>
      </c>
      <c r="BO249" t="s">
        <v>6</v>
      </c>
      <c r="BP249">
        <v>0</v>
      </c>
      <c r="BQ249">
        <v>4</v>
      </c>
      <c r="BR249">
        <v>0</v>
      </c>
      <c r="BS249">
        <v>1</v>
      </c>
      <c r="BT249">
        <v>1</v>
      </c>
      <c r="BU249">
        <v>1</v>
      </c>
      <c r="BV249">
        <v>1</v>
      </c>
      <c r="BW249">
        <v>1</v>
      </c>
      <c r="BX249">
        <v>1</v>
      </c>
      <c r="BY249" t="s">
        <v>6</v>
      </c>
      <c r="BZ249">
        <v>65</v>
      </c>
      <c r="CA249">
        <v>40</v>
      </c>
      <c r="CE249">
        <v>0</v>
      </c>
      <c r="CF249">
        <v>0</v>
      </c>
      <c r="CG249">
        <v>0</v>
      </c>
      <c r="CM249">
        <v>0</v>
      </c>
      <c r="CN249" t="s">
        <v>561</v>
      </c>
      <c r="CO249">
        <v>0</v>
      </c>
      <c r="CP249">
        <f>(P249+Q249+S249)</f>
        <v>2435.38</v>
      </c>
      <c r="CQ249">
        <f>AC249*BC249</f>
        <v>0</v>
      </c>
      <c r="CR249">
        <f>AD249*BB249</f>
        <v>0</v>
      </c>
      <c r="CS249">
        <f>AE249*BS249</f>
        <v>0</v>
      </c>
      <c r="CT249">
        <f>AF249*BA249</f>
        <v>304.423</v>
      </c>
      <c r="CU249">
        <f t="shared" si="259"/>
        <v>0</v>
      </c>
      <c r="CV249">
        <f t="shared" si="259"/>
        <v>1.2960000000000003</v>
      </c>
      <c r="CW249">
        <f t="shared" si="259"/>
        <v>0</v>
      </c>
      <c r="CX249">
        <f t="shared" si="259"/>
        <v>0</v>
      </c>
      <c r="CY249">
        <f>(((S249+R249)*AT249)/100)</f>
        <v>1582.9970000000001</v>
      </c>
      <c r="CZ249">
        <f>(((S249+R249)*AU249)/100)</f>
        <v>974.15200000000016</v>
      </c>
      <c r="DC249" t="s">
        <v>6</v>
      </c>
      <c r="DD249" t="s">
        <v>6</v>
      </c>
      <c r="DE249" t="s">
        <v>6</v>
      </c>
      <c r="DF249" t="s">
        <v>6</v>
      </c>
      <c r="DG249" t="s">
        <v>82</v>
      </c>
      <c r="DH249" t="s">
        <v>6</v>
      </c>
      <c r="DI249" t="s">
        <v>82</v>
      </c>
      <c r="DJ249" t="s">
        <v>6</v>
      </c>
      <c r="DK249" t="s">
        <v>6</v>
      </c>
      <c r="DL249" t="s">
        <v>6</v>
      </c>
      <c r="DM249" t="s">
        <v>6</v>
      </c>
      <c r="DN249">
        <v>0</v>
      </c>
      <c r="DO249">
        <v>0</v>
      </c>
      <c r="DP249">
        <v>1</v>
      </c>
      <c r="DQ249">
        <v>1</v>
      </c>
      <c r="DU249">
        <v>1013</v>
      </c>
      <c r="DV249" t="s">
        <v>568</v>
      </c>
      <c r="DW249" t="s">
        <v>568</v>
      </c>
      <c r="DX249">
        <v>1</v>
      </c>
      <c r="EE249">
        <v>16510412</v>
      </c>
      <c r="EF249">
        <v>4</v>
      </c>
      <c r="EG249" t="s">
        <v>556</v>
      </c>
      <c r="EH249">
        <v>0</v>
      </c>
      <c r="EI249" t="s">
        <v>6</v>
      </c>
      <c r="EJ249">
        <v>4</v>
      </c>
      <c r="EK249">
        <v>200001</v>
      </c>
      <c r="EL249" t="s">
        <v>562</v>
      </c>
      <c r="EM249" t="s">
        <v>563</v>
      </c>
      <c r="EO249" t="s">
        <v>564</v>
      </c>
      <c r="EQ249">
        <v>131072</v>
      </c>
      <c r="ER249">
        <v>19.63</v>
      </c>
      <c r="ES249">
        <v>0</v>
      </c>
      <c r="ET249">
        <v>0</v>
      </c>
      <c r="EU249">
        <v>0</v>
      </c>
      <c r="EV249">
        <v>19.63</v>
      </c>
      <c r="EW249">
        <v>1.62</v>
      </c>
      <c r="EX249">
        <v>0</v>
      </c>
      <c r="EY249">
        <v>0</v>
      </c>
      <c r="FQ249">
        <v>0</v>
      </c>
      <c r="FR249">
        <f>ROUND(IF(AND(BH249=3,BI249=3),P249,0),2)</f>
        <v>0</v>
      </c>
      <c r="FS249">
        <v>0</v>
      </c>
      <c r="FX249">
        <v>65</v>
      </c>
      <c r="FY249">
        <v>40</v>
      </c>
      <c r="GA249" t="s">
        <v>6</v>
      </c>
      <c r="GD249">
        <v>0</v>
      </c>
      <c r="GF249">
        <v>-648667348</v>
      </c>
      <c r="GG249">
        <v>1</v>
      </c>
      <c r="GH249">
        <v>1</v>
      </c>
      <c r="GI249">
        <v>4</v>
      </c>
      <c r="GJ249">
        <v>0</v>
      </c>
      <c r="GK249">
        <f>ROUND(R249*(R12)/100,2)</f>
        <v>0</v>
      </c>
      <c r="GL249">
        <f>ROUND(IF(AND(BH249=3,BI249=3,FS249&lt;&gt;0),P249,0),2)</f>
        <v>0</v>
      </c>
      <c r="GM249">
        <f>ROUND(O249+X249+Y249+GK249,2)+GX249</f>
        <v>4992.53</v>
      </c>
      <c r="GN249">
        <f>IF(OR(BI249=0,BI249=1),ROUND(O249+X249+Y249+GK249,2),0)</f>
        <v>0</v>
      </c>
      <c r="GO249">
        <f>IF(BI249=2,ROUND(O249+X249+Y249+GK249,2),0)</f>
        <v>0</v>
      </c>
      <c r="GP249">
        <f>IF(BI249=4,ROUND(O249+X249+Y249+GK249,2)+GX249,0)</f>
        <v>4992.53</v>
      </c>
      <c r="GR249">
        <v>0</v>
      </c>
      <c r="GS249">
        <v>3</v>
      </c>
      <c r="GT249">
        <v>0</v>
      </c>
      <c r="GU249" t="s">
        <v>6</v>
      </c>
      <c r="GV249">
        <f>ROUND((GT249),2)</f>
        <v>0</v>
      </c>
      <c r="GW249">
        <v>1</v>
      </c>
      <c r="GX249">
        <f>ROUND(HC249*I249,2)</f>
        <v>0</v>
      </c>
      <c r="HA249">
        <v>0</v>
      </c>
      <c r="HB249">
        <v>0</v>
      </c>
      <c r="HC249">
        <f>GV249*GW249</f>
        <v>0</v>
      </c>
      <c r="IK249">
        <v>0</v>
      </c>
    </row>
    <row r="250" spans="1:245" x14ac:dyDescent="0.2">
      <c r="A250">
        <v>17</v>
      </c>
      <c r="B250">
        <v>1</v>
      </c>
      <c r="C250">
        <f>ROW(SmtRes!A361)</f>
        <v>361</v>
      </c>
      <c r="D250">
        <f>ROW(EtalonRes!A331)</f>
        <v>331</v>
      </c>
      <c r="E250" t="s">
        <v>570</v>
      </c>
      <c r="F250" t="s">
        <v>571</v>
      </c>
      <c r="G250" t="s">
        <v>572</v>
      </c>
      <c r="H250" t="s">
        <v>45</v>
      </c>
      <c r="I250">
        <v>72</v>
      </c>
      <c r="J250">
        <v>0</v>
      </c>
      <c r="O250">
        <f>ROUND(CP250,2)</f>
        <v>17451</v>
      </c>
      <c r="P250">
        <f>ROUND(CQ250*I250,2)</f>
        <v>0</v>
      </c>
      <c r="Q250">
        <f>ROUND(CR250*I250,2)</f>
        <v>0</v>
      </c>
      <c r="R250">
        <f>ROUND(CS250*I250,2)</f>
        <v>0</v>
      </c>
      <c r="S250">
        <f>ROUND(CT250*I250,2)</f>
        <v>17451</v>
      </c>
      <c r="T250">
        <f>ROUND(CU250*I250,2)</f>
        <v>0</v>
      </c>
      <c r="U250">
        <f>CV250*I250</f>
        <v>70.271999999999991</v>
      </c>
      <c r="V250">
        <f>CW250*I250</f>
        <v>0</v>
      </c>
      <c r="W250">
        <f>ROUND(CX250*I250,2)</f>
        <v>0</v>
      </c>
      <c r="X250">
        <f t="shared" si="258"/>
        <v>11343.15</v>
      </c>
      <c r="Y250">
        <f t="shared" si="258"/>
        <v>6980.4</v>
      </c>
      <c r="AA250">
        <v>16808636</v>
      </c>
      <c r="AB250">
        <f>ROUND((AC250+AD250+AF250),2)</f>
        <v>12.5</v>
      </c>
      <c r="AC250">
        <f>ROUND((ES250),2)</f>
        <v>0</v>
      </c>
      <c r="AD250">
        <f>ROUND((((ET250)-(EU250))+AE250),2)</f>
        <v>0</v>
      </c>
      <c r="AE250">
        <f>ROUND((EU250),2)</f>
        <v>0</v>
      </c>
      <c r="AF250">
        <f>ROUND(((EV250*0.8)),2)</f>
        <v>12.5</v>
      </c>
      <c r="AG250">
        <f>ROUND((AP250),2)</f>
        <v>0</v>
      </c>
      <c r="AH250">
        <f>((EW250*0.8))</f>
        <v>0.97599999999999998</v>
      </c>
      <c r="AI250">
        <f>(EX250)</f>
        <v>0</v>
      </c>
      <c r="AJ250">
        <f>(AS250)</f>
        <v>0</v>
      </c>
      <c r="AK250">
        <v>15.62</v>
      </c>
      <c r="AL250">
        <v>0</v>
      </c>
      <c r="AM250">
        <v>0</v>
      </c>
      <c r="AN250">
        <v>0</v>
      </c>
      <c r="AO250">
        <v>15.62</v>
      </c>
      <c r="AP250">
        <v>0</v>
      </c>
      <c r="AQ250">
        <v>1.22</v>
      </c>
      <c r="AR250">
        <v>0</v>
      </c>
      <c r="AS250">
        <v>0</v>
      </c>
      <c r="AT250">
        <v>65</v>
      </c>
      <c r="AU250">
        <v>40</v>
      </c>
      <c r="AV250">
        <v>1</v>
      </c>
      <c r="AW250">
        <v>1</v>
      </c>
      <c r="AZ250">
        <v>19.39</v>
      </c>
      <c r="BA250">
        <v>19.39</v>
      </c>
      <c r="BB250">
        <v>1</v>
      </c>
      <c r="BC250">
        <v>1</v>
      </c>
      <c r="BD250" t="s">
        <v>6</v>
      </c>
      <c r="BE250" t="s">
        <v>6</v>
      </c>
      <c r="BF250" t="s">
        <v>6</v>
      </c>
      <c r="BG250" t="s">
        <v>6</v>
      </c>
      <c r="BH250">
        <v>0</v>
      </c>
      <c r="BI250">
        <v>4</v>
      </c>
      <c r="BJ250" t="s">
        <v>573</v>
      </c>
      <c r="BM250">
        <v>200001</v>
      </c>
      <c r="BN250">
        <v>0</v>
      </c>
      <c r="BO250" t="s">
        <v>6</v>
      </c>
      <c r="BP250">
        <v>0</v>
      </c>
      <c r="BQ250">
        <v>4</v>
      </c>
      <c r="BR250">
        <v>0</v>
      </c>
      <c r="BS250">
        <v>1</v>
      </c>
      <c r="BT250">
        <v>1</v>
      </c>
      <c r="BU250">
        <v>1</v>
      </c>
      <c r="BV250">
        <v>1</v>
      </c>
      <c r="BW250">
        <v>1</v>
      </c>
      <c r="BX250">
        <v>1</v>
      </c>
      <c r="BY250" t="s">
        <v>6</v>
      </c>
      <c r="BZ250">
        <v>65</v>
      </c>
      <c r="CA250">
        <v>40</v>
      </c>
      <c r="CE250">
        <v>0</v>
      </c>
      <c r="CF250">
        <v>0</v>
      </c>
      <c r="CG250">
        <v>0</v>
      </c>
      <c r="CM250">
        <v>0</v>
      </c>
      <c r="CN250" t="s">
        <v>561</v>
      </c>
      <c r="CO250">
        <v>0</v>
      </c>
      <c r="CP250">
        <f>(P250+Q250+S250)</f>
        <v>17451</v>
      </c>
      <c r="CQ250">
        <f>AC250*BC250</f>
        <v>0</v>
      </c>
      <c r="CR250">
        <f>AD250*BB250</f>
        <v>0</v>
      </c>
      <c r="CS250">
        <f>AE250*BS250</f>
        <v>0</v>
      </c>
      <c r="CT250">
        <f>AF250*BA250</f>
        <v>242.375</v>
      </c>
      <c r="CU250">
        <f t="shared" si="259"/>
        <v>0</v>
      </c>
      <c r="CV250">
        <f t="shared" si="259"/>
        <v>0.97599999999999998</v>
      </c>
      <c r="CW250">
        <f t="shared" si="259"/>
        <v>0</v>
      </c>
      <c r="CX250">
        <f t="shared" si="259"/>
        <v>0</v>
      </c>
      <c r="CY250">
        <f>(((S250+R250)*AT250)/100)</f>
        <v>11343.15</v>
      </c>
      <c r="CZ250">
        <f>(((S250+R250)*AU250)/100)</f>
        <v>6980.4</v>
      </c>
      <c r="DC250" t="s">
        <v>6</v>
      </c>
      <c r="DD250" t="s">
        <v>6</v>
      </c>
      <c r="DE250" t="s">
        <v>6</v>
      </c>
      <c r="DF250" t="s">
        <v>6</v>
      </c>
      <c r="DG250" t="s">
        <v>82</v>
      </c>
      <c r="DH250" t="s">
        <v>6</v>
      </c>
      <c r="DI250" t="s">
        <v>82</v>
      </c>
      <c r="DJ250" t="s">
        <v>6</v>
      </c>
      <c r="DK250" t="s">
        <v>6</v>
      </c>
      <c r="DL250" t="s">
        <v>6</v>
      </c>
      <c r="DM250" t="s">
        <v>6</v>
      </c>
      <c r="DN250">
        <v>0</v>
      </c>
      <c r="DO250">
        <v>0</v>
      </c>
      <c r="DP250">
        <v>1</v>
      </c>
      <c r="DQ250">
        <v>1</v>
      </c>
      <c r="DU250">
        <v>1013</v>
      </c>
      <c r="DV250" t="s">
        <v>45</v>
      </c>
      <c r="DW250" t="s">
        <v>45</v>
      </c>
      <c r="DX250">
        <v>1</v>
      </c>
      <c r="EE250">
        <v>16510412</v>
      </c>
      <c r="EF250">
        <v>4</v>
      </c>
      <c r="EG250" t="s">
        <v>556</v>
      </c>
      <c r="EH250">
        <v>0</v>
      </c>
      <c r="EI250" t="s">
        <v>6</v>
      </c>
      <c r="EJ250">
        <v>4</v>
      </c>
      <c r="EK250">
        <v>200001</v>
      </c>
      <c r="EL250" t="s">
        <v>562</v>
      </c>
      <c r="EM250" t="s">
        <v>563</v>
      </c>
      <c r="EO250" t="s">
        <v>564</v>
      </c>
      <c r="EQ250">
        <v>131072</v>
      </c>
      <c r="ER250">
        <v>15.62</v>
      </c>
      <c r="ES250">
        <v>0</v>
      </c>
      <c r="ET250">
        <v>0</v>
      </c>
      <c r="EU250">
        <v>0</v>
      </c>
      <c r="EV250">
        <v>15.62</v>
      </c>
      <c r="EW250">
        <v>1.22</v>
      </c>
      <c r="EX250">
        <v>0</v>
      </c>
      <c r="EY250">
        <v>0</v>
      </c>
      <c r="FQ250">
        <v>0</v>
      </c>
      <c r="FR250">
        <f>ROUND(IF(AND(BH250=3,BI250=3),P250,0),2)</f>
        <v>0</v>
      </c>
      <c r="FS250">
        <v>0</v>
      </c>
      <c r="FX250">
        <v>65</v>
      </c>
      <c r="FY250">
        <v>40</v>
      </c>
      <c r="GA250" t="s">
        <v>6</v>
      </c>
      <c r="GD250">
        <v>0</v>
      </c>
      <c r="GF250">
        <v>-829332442</v>
      </c>
      <c r="GG250">
        <v>1</v>
      </c>
      <c r="GH250">
        <v>1</v>
      </c>
      <c r="GI250">
        <v>4</v>
      </c>
      <c r="GJ250">
        <v>0</v>
      </c>
      <c r="GK250">
        <f>ROUND(R250*(R12)/100,2)</f>
        <v>0</v>
      </c>
      <c r="GL250">
        <f>ROUND(IF(AND(BH250=3,BI250=3,FS250&lt;&gt;0),P250,0),2)</f>
        <v>0</v>
      </c>
      <c r="GM250">
        <f>ROUND(O250+X250+Y250+GK250,2)+GX250</f>
        <v>35774.550000000003</v>
      </c>
      <c r="GN250">
        <f>IF(OR(BI250=0,BI250=1),ROUND(O250+X250+Y250+GK250,2),0)</f>
        <v>0</v>
      </c>
      <c r="GO250">
        <f>IF(BI250=2,ROUND(O250+X250+Y250+GK250,2),0)</f>
        <v>0</v>
      </c>
      <c r="GP250">
        <f>IF(BI250=4,ROUND(O250+X250+Y250+GK250,2)+GX250,0)</f>
        <v>35774.550000000003</v>
      </c>
      <c r="GR250">
        <v>0</v>
      </c>
      <c r="GS250">
        <v>3</v>
      </c>
      <c r="GT250">
        <v>0</v>
      </c>
      <c r="GU250" t="s">
        <v>6</v>
      </c>
      <c r="GV250">
        <f>ROUND((GT250),2)</f>
        <v>0</v>
      </c>
      <c r="GW250">
        <v>1</v>
      </c>
      <c r="GX250">
        <f>ROUND(HC250*I250,2)</f>
        <v>0</v>
      </c>
      <c r="HA250">
        <v>0</v>
      </c>
      <c r="HB250">
        <v>0</v>
      </c>
      <c r="HC250">
        <f>GV250*GW250</f>
        <v>0</v>
      </c>
      <c r="IK250">
        <v>0</v>
      </c>
    </row>
    <row r="252" spans="1:245" x14ac:dyDescent="0.2">
      <c r="A252" s="2">
        <v>51</v>
      </c>
      <c r="B252" s="2">
        <f>B244</f>
        <v>1</v>
      </c>
      <c r="C252" s="2">
        <f>A244</f>
        <v>4</v>
      </c>
      <c r="D252" s="2">
        <f>ROW(A244)</f>
        <v>244</v>
      </c>
      <c r="E252" s="2"/>
      <c r="F252" s="2" t="str">
        <f>IF(F244&lt;&gt;"",F244,"")</f>
        <v>Новый раздел</v>
      </c>
      <c r="G252" s="2" t="str">
        <f>IF(G244&lt;&gt;"",G244,"")</f>
        <v>Пусконаладочные работы</v>
      </c>
      <c r="H252" s="2">
        <v>0</v>
      </c>
      <c r="I252" s="2"/>
      <c r="J252" s="2"/>
      <c r="K252" s="2"/>
      <c r="L252" s="2"/>
      <c r="M252" s="2"/>
      <c r="N252" s="2"/>
      <c r="O252" s="2">
        <f t="shared" ref="O252:T252" si="260">ROUND(AB252,2)</f>
        <v>22557.55</v>
      </c>
      <c r="P252" s="2">
        <f t="shared" si="260"/>
        <v>0</v>
      </c>
      <c r="Q252" s="2">
        <f t="shared" si="260"/>
        <v>0</v>
      </c>
      <c r="R252" s="2">
        <f t="shared" si="260"/>
        <v>0</v>
      </c>
      <c r="S252" s="2">
        <f t="shared" si="260"/>
        <v>22557.55</v>
      </c>
      <c r="T252" s="2">
        <f t="shared" si="260"/>
        <v>0</v>
      </c>
      <c r="U252" s="2">
        <f>AH252</f>
        <v>91.391999999999996</v>
      </c>
      <c r="V252" s="2">
        <f>AI252</f>
        <v>0</v>
      </c>
      <c r="W252" s="2">
        <f>ROUND(AJ252,2)</f>
        <v>0</v>
      </c>
      <c r="X252" s="2">
        <f>ROUND(AK252,2)</f>
        <v>14662.41</v>
      </c>
      <c r="Y252" s="2">
        <f>ROUND(AL252,2)</f>
        <v>9023.02</v>
      </c>
      <c r="Z252" s="2"/>
      <c r="AA252" s="2"/>
      <c r="AB252" s="2">
        <f>ROUND(SUMIF(AA248:AA250,"=16808636",O248:O250),2)</f>
        <v>22557.55</v>
      </c>
      <c r="AC252" s="2">
        <f>ROUND(SUMIF(AA248:AA250,"=16808636",P248:P250),2)</f>
        <v>0</v>
      </c>
      <c r="AD252" s="2">
        <f>ROUND(SUMIF(AA248:AA250,"=16808636",Q248:Q250),2)</f>
        <v>0</v>
      </c>
      <c r="AE252" s="2">
        <f>ROUND(SUMIF(AA248:AA250,"=16808636",R248:R250),2)</f>
        <v>0</v>
      </c>
      <c r="AF252" s="2">
        <f>ROUND(SUMIF(AA248:AA250,"=16808636",S248:S250),2)</f>
        <v>22557.55</v>
      </c>
      <c r="AG252" s="2">
        <f>ROUND(SUMIF(AA248:AA250,"=16808636",T248:T250),2)</f>
        <v>0</v>
      </c>
      <c r="AH252" s="2">
        <f>SUMIF(AA248:AA250,"=16808636",U248:U250)</f>
        <v>91.391999999999996</v>
      </c>
      <c r="AI252" s="2">
        <f>SUMIF(AA248:AA250,"=16808636",V248:V250)</f>
        <v>0</v>
      </c>
      <c r="AJ252" s="2">
        <f>ROUND(SUMIF(AA248:AA250,"=16808636",W248:W250),2)</f>
        <v>0</v>
      </c>
      <c r="AK252" s="2">
        <f>ROUND(SUMIF(AA248:AA250,"=16808636",X248:X250),2)</f>
        <v>14662.41</v>
      </c>
      <c r="AL252" s="2">
        <f>ROUND(SUMIF(AA248:AA250,"=16808636",Y248:Y250),2)</f>
        <v>9023.02</v>
      </c>
      <c r="AM252" s="2"/>
      <c r="AN252" s="2"/>
      <c r="AO252" s="2">
        <f t="shared" ref="AO252:BC252" si="261">ROUND(BX252,2)</f>
        <v>0</v>
      </c>
      <c r="AP252" s="2">
        <f t="shared" si="261"/>
        <v>0</v>
      </c>
      <c r="AQ252" s="2">
        <f t="shared" si="261"/>
        <v>0</v>
      </c>
      <c r="AR252" s="2">
        <f t="shared" si="261"/>
        <v>46242.98</v>
      </c>
      <c r="AS252" s="2">
        <f t="shared" si="261"/>
        <v>0</v>
      </c>
      <c r="AT252" s="2">
        <f t="shared" si="261"/>
        <v>0</v>
      </c>
      <c r="AU252" s="2">
        <f t="shared" si="261"/>
        <v>46242.98</v>
      </c>
      <c r="AV252" s="2">
        <f t="shared" si="261"/>
        <v>0</v>
      </c>
      <c r="AW252" s="2">
        <f t="shared" si="261"/>
        <v>0</v>
      </c>
      <c r="AX252" s="2">
        <f t="shared" si="261"/>
        <v>0</v>
      </c>
      <c r="AY252" s="2">
        <f t="shared" si="261"/>
        <v>0</v>
      </c>
      <c r="AZ252" s="2">
        <f t="shared" si="261"/>
        <v>0</v>
      </c>
      <c r="BA252" s="2">
        <f t="shared" si="261"/>
        <v>0</v>
      </c>
      <c r="BB252" s="2">
        <f t="shared" si="261"/>
        <v>0</v>
      </c>
      <c r="BC252" s="2">
        <f t="shared" si="261"/>
        <v>0</v>
      </c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>
        <f>ROUND(SUMIF(AA248:AA250,"=16808636",FQ248:FQ250),2)</f>
        <v>0</v>
      </c>
      <c r="BY252" s="2">
        <f>ROUND(SUMIF(AA248:AA250,"=16808636",FR248:FR250),2)</f>
        <v>0</v>
      </c>
      <c r="BZ252" s="2">
        <f>ROUND(SUMIF(AA248:AA250,"=16808636",GL248:GL250),2)</f>
        <v>0</v>
      </c>
      <c r="CA252" s="2">
        <f>ROUND(SUMIF(AA248:AA250,"=16808636",GM248:GM250),2)</f>
        <v>46242.98</v>
      </c>
      <c r="CB252" s="2">
        <f>ROUND(SUMIF(AA248:AA250,"=16808636",GN248:GN250),2)</f>
        <v>0</v>
      </c>
      <c r="CC252" s="2">
        <f>ROUND(SUMIF(AA248:AA250,"=16808636",GO248:GO250),2)</f>
        <v>0</v>
      </c>
      <c r="CD252" s="2">
        <f>ROUND(SUMIF(AA248:AA250,"=16808636",GP248:GP250),2)</f>
        <v>46242.98</v>
      </c>
      <c r="CE252" s="2">
        <f>AC252-BX252</f>
        <v>0</v>
      </c>
      <c r="CF252" s="2">
        <f>AC252-BY252</f>
        <v>0</v>
      </c>
      <c r="CG252" s="2">
        <f>BX252-BZ252</f>
        <v>0</v>
      </c>
      <c r="CH252" s="2">
        <f>AC252-BX252-BY252+BZ252</f>
        <v>0</v>
      </c>
      <c r="CI252" s="2">
        <f>BY252-BZ252</f>
        <v>0</v>
      </c>
      <c r="CJ252" s="2">
        <f>ROUND(SUMIF(AA248:AA250,"=16808636",GX248:GX250),2)</f>
        <v>0</v>
      </c>
      <c r="CK252" s="2">
        <f>ROUND(SUMIF(AA248:AA250,"=16808636",GY248:GY250),2)</f>
        <v>0</v>
      </c>
      <c r="CL252" s="2">
        <f>ROUND(SUMIF(AA248:AA250,"=16808636",GZ248:GZ250),2)</f>
        <v>0</v>
      </c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3"/>
      <c r="DH252" s="3"/>
      <c r="DI252" s="3"/>
      <c r="DJ252" s="3"/>
      <c r="DK252" s="3"/>
      <c r="DL252" s="3"/>
      <c r="DM252" s="3"/>
      <c r="DN252" s="3"/>
      <c r="DO252" s="3"/>
      <c r="DP252" s="3"/>
      <c r="DQ252" s="3"/>
      <c r="DR252" s="3"/>
      <c r="DS252" s="3"/>
      <c r="DT252" s="3"/>
      <c r="DU252" s="3"/>
      <c r="DV252" s="3"/>
      <c r="DW252" s="3"/>
      <c r="DX252" s="3"/>
      <c r="DY252" s="3"/>
      <c r="DZ252" s="3"/>
      <c r="EA252" s="3"/>
      <c r="EB252" s="3"/>
      <c r="EC252" s="3"/>
      <c r="ED252" s="3"/>
      <c r="EE252" s="3"/>
      <c r="EF252" s="3"/>
      <c r="EG252" s="3"/>
      <c r="EH252" s="3"/>
      <c r="EI252" s="3"/>
      <c r="EJ252" s="3"/>
      <c r="EK252" s="3"/>
      <c r="EL252" s="3"/>
      <c r="EM252" s="3"/>
      <c r="EN252" s="3"/>
      <c r="EO252" s="3"/>
      <c r="EP252" s="3"/>
      <c r="EQ252" s="3"/>
      <c r="ER252" s="3"/>
      <c r="ES252" s="3"/>
      <c r="ET252" s="3"/>
      <c r="EU252" s="3"/>
      <c r="EV252" s="3"/>
      <c r="EW252" s="3"/>
      <c r="EX252" s="3"/>
      <c r="EY252" s="3"/>
      <c r="EZ252" s="3"/>
      <c r="FA252" s="3"/>
      <c r="FB252" s="3"/>
      <c r="FC252" s="3"/>
      <c r="FD252" s="3"/>
      <c r="FE252" s="3"/>
      <c r="FF252" s="3"/>
      <c r="FG252" s="3"/>
      <c r="FH252" s="3"/>
      <c r="FI252" s="3"/>
      <c r="FJ252" s="3"/>
      <c r="FK252" s="3"/>
      <c r="FL252" s="3"/>
      <c r="FM252" s="3"/>
      <c r="FN252" s="3"/>
      <c r="FO252" s="3"/>
      <c r="FP252" s="3"/>
      <c r="FQ252" s="3"/>
      <c r="FR252" s="3"/>
      <c r="FS252" s="3"/>
      <c r="FT252" s="3"/>
      <c r="FU252" s="3"/>
      <c r="FV252" s="3"/>
      <c r="FW252" s="3"/>
      <c r="FX252" s="3"/>
      <c r="FY252" s="3"/>
      <c r="FZ252" s="3"/>
      <c r="GA252" s="3"/>
      <c r="GB252" s="3"/>
      <c r="GC252" s="3"/>
      <c r="GD252" s="3"/>
      <c r="GE252" s="3"/>
      <c r="GF252" s="3"/>
      <c r="GG252" s="3"/>
      <c r="GH252" s="3"/>
      <c r="GI252" s="3"/>
      <c r="GJ252" s="3"/>
      <c r="GK252" s="3"/>
      <c r="GL252" s="3"/>
      <c r="GM252" s="3"/>
      <c r="GN252" s="3"/>
      <c r="GO252" s="3"/>
      <c r="GP252" s="3"/>
      <c r="GQ252" s="3"/>
      <c r="GR252" s="3"/>
      <c r="GS252" s="3"/>
      <c r="GT252" s="3"/>
      <c r="GU252" s="3"/>
      <c r="GV252" s="3"/>
      <c r="GW252" s="3"/>
      <c r="GX252" s="3">
        <v>0</v>
      </c>
    </row>
    <row r="254" spans="1:245" x14ac:dyDescent="0.2">
      <c r="A254" s="4">
        <v>50</v>
      </c>
      <c r="B254" s="4">
        <v>0</v>
      </c>
      <c r="C254" s="4">
        <v>0</v>
      </c>
      <c r="D254" s="4">
        <v>1</v>
      </c>
      <c r="E254" s="4">
        <v>201</v>
      </c>
      <c r="F254" s="4">
        <f>ROUND(Source!O252,O254)</f>
        <v>22557.55</v>
      </c>
      <c r="G254" s="4" t="s">
        <v>118</v>
      </c>
      <c r="H254" s="4" t="s">
        <v>119</v>
      </c>
      <c r="I254" s="4"/>
      <c r="J254" s="4"/>
      <c r="K254" s="4">
        <v>201</v>
      </c>
      <c r="L254" s="4">
        <v>1</v>
      </c>
      <c r="M254" s="4">
        <v>3</v>
      </c>
      <c r="N254" s="4" t="s">
        <v>6</v>
      </c>
      <c r="O254" s="4">
        <v>2</v>
      </c>
      <c r="P254" s="4"/>
      <c r="Q254" s="4"/>
      <c r="R254" s="4"/>
      <c r="S254" s="4"/>
      <c r="T254" s="4"/>
      <c r="U254" s="4"/>
      <c r="V254" s="4"/>
      <c r="W254" s="4"/>
    </row>
    <row r="255" spans="1:245" x14ac:dyDescent="0.2">
      <c r="A255" s="4">
        <v>50</v>
      </c>
      <c r="B255" s="4">
        <v>0</v>
      </c>
      <c r="C255" s="4">
        <v>0</v>
      </c>
      <c r="D255" s="4">
        <v>1</v>
      </c>
      <c r="E255" s="4">
        <v>202</v>
      </c>
      <c r="F255" s="4">
        <f>ROUND(Source!P252,O255)</f>
        <v>0</v>
      </c>
      <c r="G255" s="4" t="s">
        <v>120</v>
      </c>
      <c r="H255" s="4" t="s">
        <v>121</v>
      </c>
      <c r="I255" s="4"/>
      <c r="J255" s="4"/>
      <c r="K255" s="4">
        <v>202</v>
      </c>
      <c r="L255" s="4">
        <v>2</v>
      </c>
      <c r="M255" s="4">
        <v>3</v>
      </c>
      <c r="N255" s="4" t="s">
        <v>6</v>
      </c>
      <c r="O255" s="4">
        <v>2</v>
      </c>
      <c r="P255" s="4"/>
      <c r="Q255" s="4"/>
      <c r="R255" s="4"/>
      <c r="S255" s="4"/>
      <c r="T255" s="4"/>
      <c r="U255" s="4"/>
      <c r="V255" s="4"/>
      <c r="W255" s="4"/>
    </row>
    <row r="256" spans="1:245" x14ac:dyDescent="0.2">
      <c r="A256" s="4">
        <v>50</v>
      </c>
      <c r="B256" s="4">
        <v>0</v>
      </c>
      <c r="C256" s="4">
        <v>0</v>
      </c>
      <c r="D256" s="4">
        <v>1</v>
      </c>
      <c r="E256" s="4">
        <v>222</v>
      </c>
      <c r="F256" s="4">
        <f>ROUND(Source!AO252,O256)</f>
        <v>0</v>
      </c>
      <c r="G256" s="4" t="s">
        <v>122</v>
      </c>
      <c r="H256" s="4" t="s">
        <v>123</v>
      </c>
      <c r="I256" s="4"/>
      <c r="J256" s="4"/>
      <c r="K256" s="4">
        <v>222</v>
      </c>
      <c r="L256" s="4">
        <v>3</v>
      </c>
      <c r="M256" s="4">
        <v>3</v>
      </c>
      <c r="N256" s="4" t="s">
        <v>6</v>
      </c>
      <c r="O256" s="4">
        <v>2</v>
      </c>
      <c r="P256" s="4"/>
      <c r="Q256" s="4"/>
      <c r="R256" s="4"/>
      <c r="S256" s="4"/>
      <c r="T256" s="4"/>
      <c r="U256" s="4"/>
      <c r="V256" s="4"/>
      <c r="W256" s="4"/>
    </row>
    <row r="257" spans="1:23" x14ac:dyDescent="0.2">
      <c r="A257" s="4">
        <v>50</v>
      </c>
      <c r="B257" s="4">
        <v>0</v>
      </c>
      <c r="C257" s="4">
        <v>0</v>
      </c>
      <c r="D257" s="4">
        <v>1</v>
      </c>
      <c r="E257" s="4">
        <v>225</v>
      </c>
      <c r="F257" s="4">
        <f>ROUND(Source!AV252,O257)</f>
        <v>0</v>
      </c>
      <c r="G257" s="4" t="s">
        <v>124</v>
      </c>
      <c r="H257" s="4" t="s">
        <v>125</v>
      </c>
      <c r="I257" s="4"/>
      <c r="J257" s="4"/>
      <c r="K257" s="4">
        <v>225</v>
      </c>
      <c r="L257" s="4">
        <v>4</v>
      </c>
      <c r="M257" s="4">
        <v>3</v>
      </c>
      <c r="N257" s="4" t="s">
        <v>6</v>
      </c>
      <c r="O257" s="4">
        <v>2</v>
      </c>
      <c r="P257" s="4"/>
      <c r="Q257" s="4"/>
      <c r="R257" s="4"/>
      <c r="S257" s="4"/>
      <c r="T257" s="4"/>
      <c r="U257" s="4"/>
      <c r="V257" s="4"/>
      <c r="W257" s="4"/>
    </row>
    <row r="258" spans="1:23" x14ac:dyDescent="0.2">
      <c r="A258" s="4">
        <v>50</v>
      </c>
      <c r="B258" s="4">
        <v>0</v>
      </c>
      <c r="C258" s="4">
        <v>0</v>
      </c>
      <c r="D258" s="4">
        <v>1</v>
      </c>
      <c r="E258" s="4">
        <v>226</v>
      </c>
      <c r="F258" s="4">
        <f>ROUND(Source!AW252,O258)</f>
        <v>0</v>
      </c>
      <c r="G258" s="4" t="s">
        <v>126</v>
      </c>
      <c r="H258" s="4" t="s">
        <v>127</v>
      </c>
      <c r="I258" s="4"/>
      <c r="J258" s="4"/>
      <c r="K258" s="4">
        <v>226</v>
      </c>
      <c r="L258" s="4">
        <v>5</v>
      </c>
      <c r="M258" s="4">
        <v>3</v>
      </c>
      <c r="N258" s="4" t="s">
        <v>6</v>
      </c>
      <c r="O258" s="4">
        <v>2</v>
      </c>
      <c r="P258" s="4"/>
      <c r="Q258" s="4"/>
      <c r="R258" s="4"/>
      <c r="S258" s="4"/>
      <c r="T258" s="4"/>
      <c r="U258" s="4"/>
      <c r="V258" s="4"/>
      <c r="W258" s="4"/>
    </row>
    <row r="259" spans="1:23" x14ac:dyDescent="0.2">
      <c r="A259" s="4">
        <v>50</v>
      </c>
      <c r="B259" s="4">
        <v>0</v>
      </c>
      <c r="C259" s="4">
        <v>0</v>
      </c>
      <c r="D259" s="4">
        <v>1</v>
      </c>
      <c r="E259" s="4">
        <v>227</v>
      </c>
      <c r="F259" s="4">
        <f>ROUND(Source!AX252,O259)</f>
        <v>0</v>
      </c>
      <c r="G259" s="4" t="s">
        <v>128</v>
      </c>
      <c r="H259" s="4" t="s">
        <v>129</v>
      </c>
      <c r="I259" s="4"/>
      <c r="J259" s="4"/>
      <c r="K259" s="4">
        <v>227</v>
      </c>
      <c r="L259" s="4">
        <v>6</v>
      </c>
      <c r="M259" s="4">
        <v>3</v>
      </c>
      <c r="N259" s="4" t="s">
        <v>6</v>
      </c>
      <c r="O259" s="4">
        <v>2</v>
      </c>
      <c r="P259" s="4"/>
      <c r="Q259" s="4"/>
      <c r="R259" s="4"/>
      <c r="S259" s="4"/>
      <c r="T259" s="4"/>
      <c r="U259" s="4"/>
      <c r="V259" s="4"/>
      <c r="W259" s="4"/>
    </row>
    <row r="260" spans="1:23" x14ac:dyDescent="0.2">
      <c r="A260" s="4">
        <v>50</v>
      </c>
      <c r="B260" s="4">
        <v>0</v>
      </c>
      <c r="C260" s="4">
        <v>0</v>
      </c>
      <c r="D260" s="4">
        <v>1</v>
      </c>
      <c r="E260" s="4">
        <v>228</v>
      </c>
      <c r="F260" s="4">
        <f>ROUND(Source!AY252,O260)</f>
        <v>0</v>
      </c>
      <c r="G260" s="4" t="s">
        <v>130</v>
      </c>
      <c r="H260" s="4" t="s">
        <v>131</v>
      </c>
      <c r="I260" s="4"/>
      <c r="J260" s="4"/>
      <c r="K260" s="4">
        <v>228</v>
      </c>
      <c r="L260" s="4">
        <v>7</v>
      </c>
      <c r="M260" s="4">
        <v>3</v>
      </c>
      <c r="N260" s="4" t="s">
        <v>6</v>
      </c>
      <c r="O260" s="4">
        <v>2</v>
      </c>
      <c r="P260" s="4"/>
      <c r="Q260" s="4"/>
      <c r="R260" s="4"/>
      <c r="S260" s="4"/>
      <c r="T260" s="4"/>
      <c r="U260" s="4"/>
      <c r="V260" s="4"/>
      <c r="W260" s="4"/>
    </row>
    <row r="261" spans="1:23" x14ac:dyDescent="0.2">
      <c r="A261" s="4">
        <v>50</v>
      </c>
      <c r="B261" s="4">
        <v>0</v>
      </c>
      <c r="C261" s="4">
        <v>0</v>
      </c>
      <c r="D261" s="4">
        <v>1</v>
      </c>
      <c r="E261" s="4">
        <v>216</v>
      </c>
      <c r="F261" s="4">
        <f>ROUND(Source!AP252,O261)</f>
        <v>0</v>
      </c>
      <c r="G261" s="4" t="s">
        <v>132</v>
      </c>
      <c r="H261" s="4" t="s">
        <v>133</v>
      </c>
      <c r="I261" s="4"/>
      <c r="J261" s="4"/>
      <c r="K261" s="4">
        <v>216</v>
      </c>
      <c r="L261" s="4">
        <v>8</v>
      </c>
      <c r="M261" s="4">
        <v>3</v>
      </c>
      <c r="N261" s="4" t="s">
        <v>6</v>
      </c>
      <c r="O261" s="4">
        <v>2</v>
      </c>
      <c r="P261" s="4"/>
      <c r="Q261" s="4"/>
      <c r="R261" s="4"/>
      <c r="S261" s="4"/>
      <c r="T261" s="4"/>
      <c r="U261" s="4"/>
      <c r="V261" s="4"/>
      <c r="W261" s="4"/>
    </row>
    <row r="262" spans="1:23" x14ac:dyDescent="0.2">
      <c r="A262" s="4">
        <v>50</v>
      </c>
      <c r="B262" s="4">
        <v>0</v>
      </c>
      <c r="C262" s="4">
        <v>0</v>
      </c>
      <c r="D262" s="4">
        <v>1</v>
      </c>
      <c r="E262" s="4">
        <v>223</v>
      </c>
      <c r="F262" s="4">
        <f>ROUND(Source!AQ252,O262)</f>
        <v>0</v>
      </c>
      <c r="G262" s="4" t="s">
        <v>134</v>
      </c>
      <c r="H262" s="4" t="s">
        <v>135</v>
      </c>
      <c r="I262" s="4"/>
      <c r="J262" s="4"/>
      <c r="K262" s="4">
        <v>223</v>
      </c>
      <c r="L262" s="4">
        <v>9</v>
      </c>
      <c r="M262" s="4">
        <v>3</v>
      </c>
      <c r="N262" s="4" t="s">
        <v>6</v>
      </c>
      <c r="O262" s="4">
        <v>2</v>
      </c>
      <c r="P262" s="4"/>
      <c r="Q262" s="4"/>
      <c r="R262" s="4"/>
      <c r="S262" s="4"/>
      <c r="T262" s="4"/>
      <c r="U262" s="4"/>
      <c r="V262" s="4"/>
      <c r="W262" s="4"/>
    </row>
    <row r="263" spans="1:23" x14ac:dyDescent="0.2">
      <c r="A263" s="4">
        <v>50</v>
      </c>
      <c r="B263" s="4">
        <v>0</v>
      </c>
      <c r="C263" s="4">
        <v>0</v>
      </c>
      <c r="D263" s="4">
        <v>1</v>
      </c>
      <c r="E263" s="4">
        <v>229</v>
      </c>
      <c r="F263" s="4">
        <f>ROUND(Source!AZ252,O263)</f>
        <v>0</v>
      </c>
      <c r="G263" s="4" t="s">
        <v>136</v>
      </c>
      <c r="H263" s="4" t="s">
        <v>137</v>
      </c>
      <c r="I263" s="4"/>
      <c r="J263" s="4"/>
      <c r="K263" s="4">
        <v>229</v>
      </c>
      <c r="L263" s="4">
        <v>10</v>
      </c>
      <c r="M263" s="4">
        <v>3</v>
      </c>
      <c r="N263" s="4" t="s">
        <v>6</v>
      </c>
      <c r="O263" s="4">
        <v>2</v>
      </c>
      <c r="P263" s="4"/>
      <c r="Q263" s="4"/>
      <c r="R263" s="4"/>
      <c r="S263" s="4"/>
      <c r="T263" s="4"/>
      <c r="U263" s="4"/>
      <c r="V263" s="4"/>
      <c r="W263" s="4"/>
    </row>
    <row r="264" spans="1:23" x14ac:dyDescent="0.2">
      <c r="A264" s="4">
        <v>50</v>
      </c>
      <c r="B264" s="4">
        <v>0</v>
      </c>
      <c r="C264" s="4">
        <v>0</v>
      </c>
      <c r="D264" s="4">
        <v>1</v>
      </c>
      <c r="E264" s="4">
        <v>203</v>
      </c>
      <c r="F264" s="4">
        <f>ROUND(Source!Q252,O264)</f>
        <v>0</v>
      </c>
      <c r="G264" s="4" t="s">
        <v>138</v>
      </c>
      <c r="H264" s="4" t="s">
        <v>139</v>
      </c>
      <c r="I264" s="4"/>
      <c r="J264" s="4"/>
      <c r="K264" s="4">
        <v>203</v>
      </c>
      <c r="L264" s="4">
        <v>11</v>
      </c>
      <c r="M264" s="4">
        <v>3</v>
      </c>
      <c r="N264" s="4" t="s">
        <v>6</v>
      </c>
      <c r="O264" s="4">
        <v>2</v>
      </c>
      <c r="P264" s="4"/>
      <c r="Q264" s="4"/>
      <c r="R264" s="4"/>
      <c r="S264" s="4"/>
      <c r="T264" s="4"/>
      <c r="U264" s="4"/>
      <c r="V264" s="4"/>
      <c r="W264" s="4"/>
    </row>
    <row r="265" spans="1:23" x14ac:dyDescent="0.2">
      <c r="A265" s="4">
        <v>50</v>
      </c>
      <c r="B265" s="4">
        <v>0</v>
      </c>
      <c r="C265" s="4">
        <v>0</v>
      </c>
      <c r="D265" s="4">
        <v>1</v>
      </c>
      <c r="E265" s="4">
        <v>231</v>
      </c>
      <c r="F265" s="4">
        <f>ROUND(Source!BB252,O265)</f>
        <v>0</v>
      </c>
      <c r="G265" s="4" t="s">
        <v>140</v>
      </c>
      <c r="H265" s="4" t="s">
        <v>141</v>
      </c>
      <c r="I265" s="4"/>
      <c r="J265" s="4"/>
      <c r="K265" s="4">
        <v>231</v>
      </c>
      <c r="L265" s="4">
        <v>12</v>
      </c>
      <c r="M265" s="4">
        <v>3</v>
      </c>
      <c r="N265" s="4" t="s">
        <v>6</v>
      </c>
      <c r="O265" s="4">
        <v>2</v>
      </c>
      <c r="P265" s="4"/>
      <c r="Q265" s="4"/>
      <c r="R265" s="4"/>
      <c r="S265" s="4"/>
      <c r="T265" s="4"/>
      <c r="U265" s="4"/>
      <c r="V265" s="4"/>
      <c r="W265" s="4"/>
    </row>
    <row r="266" spans="1:23" x14ac:dyDescent="0.2">
      <c r="A266" s="4">
        <v>50</v>
      </c>
      <c r="B266" s="4">
        <v>0</v>
      </c>
      <c r="C266" s="4">
        <v>0</v>
      </c>
      <c r="D266" s="4">
        <v>1</v>
      </c>
      <c r="E266" s="4">
        <v>204</v>
      </c>
      <c r="F266" s="4">
        <f>ROUND(Source!R252,O266)</f>
        <v>0</v>
      </c>
      <c r="G266" s="4" t="s">
        <v>142</v>
      </c>
      <c r="H266" s="4" t="s">
        <v>143</v>
      </c>
      <c r="I266" s="4"/>
      <c r="J266" s="4"/>
      <c r="K266" s="4">
        <v>204</v>
      </c>
      <c r="L266" s="4">
        <v>13</v>
      </c>
      <c r="M266" s="4">
        <v>3</v>
      </c>
      <c r="N266" s="4" t="s">
        <v>6</v>
      </c>
      <c r="O266" s="4">
        <v>2</v>
      </c>
      <c r="P266" s="4"/>
      <c r="Q266" s="4"/>
      <c r="R266" s="4"/>
      <c r="S266" s="4"/>
      <c r="T266" s="4"/>
      <c r="U266" s="4"/>
      <c r="V266" s="4"/>
      <c r="W266" s="4"/>
    </row>
    <row r="267" spans="1:23" x14ac:dyDescent="0.2">
      <c r="A267" s="4">
        <v>50</v>
      </c>
      <c r="B267" s="4">
        <v>0</v>
      </c>
      <c r="C267" s="4">
        <v>0</v>
      </c>
      <c r="D267" s="4">
        <v>1</v>
      </c>
      <c r="E267" s="4">
        <v>205</v>
      </c>
      <c r="F267" s="4">
        <f>ROUND(Source!S252,O267)</f>
        <v>22557.55</v>
      </c>
      <c r="G267" s="4" t="s">
        <v>144</v>
      </c>
      <c r="H267" s="4" t="s">
        <v>145</v>
      </c>
      <c r="I267" s="4"/>
      <c r="J267" s="4"/>
      <c r="K267" s="4">
        <v>205</v>
      </c>
      <c r="L267" s="4">
        <v>14</v>
      </c>
      <c r="M267" s="4">
        <v>3</v>
      </c>
      <c r="N267" s="4" t="s">
        <v>6</v>
      </c>
      <c r="O267" s="4">
        <v>2</v>
      </c>
      <c r="P267" s="4"/>
      <c r="Q267" s="4"/>
      <c r="R267" s="4"/>
      <c r="S267" s="4"/>
      <c r="T267" s="4"/>
      <c r="U267" s="4"/>
      <c r="V267" s="4"/>
      <c r="W267" s="4"/>
    </row>
    <row r="268" spans="1:23" x14ac:dyDescent="0.2">
      <c r="A268" s="4">
        <v>50</v>
      </c>
      <c r="B268" s="4">
        <v>0</v>
      </c>
      <c r="C268" s="4">
        <v>0</v>
      </c>
      <c r="D268" s="4">
        <v>1</v>
      </c>
      <c r="E268" s="4">
        <v>232</v>
      </c>
      <c r="F268" s="4">
        <f>ROUND(Source!BC252,O268)</f>
        <v>0</v>
      </c>
      <c r="G268" s="4" t="s">
        <v>146</v>
      </c>
      <c r="H268" s="4" t="s">
        <v>147</v>
      </c>
      <c r="I268" s="4"/>
      <c r="J268" s="4"/>
      <c r="K268" s="4">
        <v>232</v>
      </c>
      <c r="L268" s="4">
        <v>15</v>
      </c>
      <c r="M268" s="4">
        <v>3</v>
      </c>
      <c r="N268" s="4" t="s">
        <v>6</v>
      </c>
      <c r="O268" s="4">
        <v>2</v>
      </c>
      <c r="P268" s="4"/>
      <c r="Q268" s="4"/>
      <c r="R268" s="4"/>
      <c r="S268" s="4"/>
      <c r="T268" s="4"/>
      <c r="U268" s="4"/>
      <c r="V268" s="4"/>
      <c r="W268" s="4"/>
    </row>
    <row r="269" spans="1:23" x14ac:dyDescent="0.2">
      <c r="A269" s="4">
        <v>50</v>
      </c>
      <c r="B269" s="4">
        <v>0</v>
      </c>
      <c r="C269" s="4">
        <v>0</v>
      </c>
      <c r="D269" s="4">
        <v>1</v>
      </c>
      <c r="E269" s="4">
        <v>214</v>
      </c>
      <c r="F269" s="4">
        <f>ROUND(Source!AS252,O269)</f>
        <v>0</v>
      </c>
      <c r="G269" s="4" t="s">
        <v>148</v>
      </c>
      <c r="H269" s="4" t="s">
        <v>149</v>
      </c>
      <c r="I269" s="4"/>
      <c r="J269" s="4"/>
      <c r="K269" s="4">
        <v>214</v>
      </c>
      <c r="L269" s="4">
        <v>16</v>
      </c>
      <c r="M269" s="4">
        <v>3</v>
      </c>
      <c r="N269" s="4" t="s">
        <v>6</v>
      </c>
      <c r="O269" s="4">
        <v>2</v>
      </c>
      <c r="P269" s="4"/>
      <c r="Q269" s="4"/>
      <c r="R269" s="4"/>
      <c r="S269" s="4"/>
      <c r="T269" s="4"/>
      <c r="U269" s="4"/>
      <c r="V269" s="4"/>
      <c r="W269" s="4"/>
    </row>
    <row r="270" spans="1:23" x14ac:dyDescent="0.2">
      <c r="A270" s="4">
        <v>50</v>
      </c>
      <c r="B270" s="4">
        <v>0</v>
      </c>
      <c r="C270" s="4">
        <v>0</v>
      </c>
      <c r="D270" s="4">
        <v>1</v>
      </c>
      <c r="E270" s="4">
        <v>215</v>
      </c>
      <c r="F270" s="4">
        <f>ROUND(Source!AT252,O270)</f>
        <v>0</v>
      </c>
      <c r="G270" s="4" t="s">
        <v>150</v>
      </c>
      <c r="H270" s="4" t="s">
        <v>151</v>
      </c>
      <c r="I270" s="4"/>
      <c r="J270" s="4"/>
      <c r="K270" s="4">
        <v>215</v>
      </c>
      <c r="L270" s="4">
        <v>17</v>
      </c>
      <c r="M270" s="4">
        <v>3</v>
      </c>
      <c r="N270" s="4" t="s">
        <v>6</v>
      </c>
      <c r="O270" s="4">
        <v>2</v>
      </c>
      <c r="P270" s="4"/>
      <c r="Q270" s="4"/>
      <c r="R270" s="4"/>
      <c r="S270" s="4"/>
      <c r="T270" s="4"/>
      <c r="U270" s="4"/>
      <c r="V270" s="4"/>
      <c r="W270" s="4"/>
    </row>
    <row r="271" spans="1:23" x14ac:dyDescent="0.2">
      <c r="A271" s="4">
        <v>50</v>
      </c>
      <c r="B271" s="4">
        <v>0</v>
      </c>
      <c r="C271" s="4">
        <v>0</v>
      </c>
      <c r="D271" s="4">
        <v>1</v>
      </c>
      <c r="E271" s="4">
        <v>217</v>
      </c>
      <c r="F271" s="4">
        <f>ROUND(Source!AU252,O271)</f>
        <v>46242.98</v>
      </c>
      <c r="G271" s="4" t="s">
        <v>152</v>
      </c>
      <c r="H271" s="4" t="s">
        <v>153</v>
      </c>
      <c r="I271" s="4"/>
      <c r="J271" s="4"/>
      <c r="K271" s="4">
        <v>217</v>
      </c>
      <c r="L271" s="4">
        <v>18</v>
      </c>
      <c r="M271" s="4">
        <v>3</v>
      </c>
      <c r="N271" s="4" t="s">
        <v>6</v>
      </c>
      <c r="O271" s="4">
        <v>2</v>
      </c>
      <c r="P271" s="4"/>
      <c r="Q271" s="4"/>
      <c r="R271" s="4"/>
      <c r="S271" s="4"/>
      <c r="T271" s="4"/>
      <c r="U271" s="4"/>
      <c r="V271" s="4"/>
      <c r="W271" s="4"/>
    </row>
    <row r="272" spans="1:23" x14ac:dyDescent="0.2">
      <c r="A272" s="4">
        <v>50</v>
      </c>
      <c r="B272" s="4">
        <v>0</v>
      </c>
      <c r="C272" s="4">
        <v>0</v>
      </c>
      <c r="D272" s="4">
        <v>1</v>
      </c>
      <c r="E272" s="4">
        <v>230</v>
      </c>
      <c r="F272" s="4">
        <f>ROUND(Source!BA252,O272)</f>
        <v>0</v>
      </c>
      <c r="G272" s="4" t="s">
        <v>154</v>
      </c>
      <c r="H272" s="4" t="s">
        <v>155</v>
      </c>
      <c r="I272" s="4"/>
      <c r="J272" s="4"/>
      <c r="K272" s="4">
        <v>230</v>
      </c>
      <c r="L272" s="4">
        <v>19</v>
      </c>
      <c r="M272" s="4">
        <v>3</v>
      </c>
      <c r="N272" s="4" t="s">
        <v>6</v>
      </c>
      <c r="O272" s="4">
        <v>2</v>
      </c>
      <c r="P272" s="4"/>
      <c r="Q272" s="4"/>
      <c r="R272" s="4"/>
      <c r="S272" s="4"/>
      <c r="T272" s="4"/>
      <c r="U272" s="4"/>
      <c r="V272" s="4"/>
      <c r="W272" s="4"/>
    </row>
    <row r="273" spans="1:245" x14ac:dyDescent="0.2">
      <c r="A273" s="4">
        <v>50</v>
      </c>
      <c r="B273" s="4">
        <v>0</v>
      </c>
      <c r="C273" s="4">
        <v>0</v>
      </c>
      <c r="D273" s="4">
        <v>1</v>
      </c>
      <c r="E273" s="4">
        <v>206</v>
      </c>
      <c r="F273" s="4">
        <f>ROUND(Source!T252,O273)</f>
        <v>0</v>
      </c>
      <c r="G273" s="4" t="s">
        <v>156</v>
      </c>
      <c r="H273" s="4" t="s">
        <v>157</v>
      </c>
      <c r="I273" s="4"/>
      <c r="J273" s="4"/>
      <c r="K273" s="4">
        <v>206</v>
      </c>
      <c r="L273" s="4">
        <v>20</v>
      </c>
      <c r="M273" s="4">
        <v>3</v>
      </c>
      <c r="N273" s="4" t="s">
        <v>6</v>
      </c>
      <c r="O273" s="4">
        <v>2</v>
      </c>
      <c r="P273" s="4"/>
      <c r="Q273" s="4"/>
      <c r="R273" s="4"/>
      <c r="S273" s="4"/>
      <c r="T273" s="4"/>
      <c r="U273" s="4"/>
      <c r="V273" s="4"/>
      <c r="W273" s="4"/>
    </row>
    <row r="274" spans="1:245" x14ac:dyDescent="0.2">
      <c r="A274" s="4">
        <v>50</v>
      </c>
      <c r="B274" s="4">
        <v>0</v>
      </c>
      <c r="C274" s="4">
        <v>0</v>
      </c>
      <c r="D274" s="4">
        <v>1</v>
      </c>
      <c r="E274" s="4">
        <v>207</v>
      </c>
      <c r="F274" s="4">
        <f>Source!U252</f>
        <v>91.391999999999996</v>
      </c>
      <c r="G274" s="4" t="s">
        <v>158</v>
      </c>
      <c r="H274" s="4" t="s">
        <v>159</v>
      </c>
      <c r="I274" s="4"/>
      <c r="J274" s="4"/>
      <c r="K274" s="4">
        <v>207</v>
      </c>
      <c r="L274" s="4">
        <v>21</v>
      </c>
      <c r="M274" s="4">
        <v>3</v>
      </c>
      <c r="N274" s="4" t="s">
        <v>6</v>
      </c>
      <c r="O274" s="4">
        <v>-1</v>
      </c>
      <c r="P274" s="4"/>
      <c r="Q274" s="4"/>
      <c r="R274" s="4"/>
      <c r="S274" s="4"/>
      <c r="T274" s="4"/>
      <c r="U274" s="4"/>
      <c r="V274" s="4"/>
      <c r="W274" s="4"/>
    </row>
    <row r="275" spans="1:245" x14ac:dyDescent="0.2">
      <c r="A275" s="4">
        <v>50</v>
      </c>
      <c r="B275" s="4">
        <v>0</v>
      </c>
      <c r="C275" s="4">
        <v>0</v>
      </c>
      <c r="D275" s="4">
        <v>1</v>
      </c>
      <c r="E275" s="4">
        <v>208</v>
      </c>
      <c r="F275" s="4">
        <f>Source!V252</f>
        <v>0</v>
      </c>
      <c r="G275" s="4" t="s">
        <v>160</v>
      </c>
      <c r="H275" s="4" t="s">
        <v>161</v>
      </c>
      <c r="I275" s="4"/>
      <c r="J275" s="4"/>
      <c r="K275" s="4">
        <v>208</v>
      </c>
      <c r="L275" s="4">
        <v>22</v>
      </c>
      <c r="M275" s="4">
        <v>3</v>
      </c>
      <c r="N275" s="4" t="s">
        <v>6</v>
      </c>
      <c r="O275" s="4">
        <v>-1</v>
      </c>
      <c r="P275" s="4"/>
      <c r="Q275" s="4"/>
      <c r="R275" s="4"/>
      <c r="S275" s="4"/>
      <c r="T275" s="4"/>
      <c r="U275" s="4"/>
      <c r="V275" s="4"/>
      <c r="W275" s="4"/>
    </row>
    <row r="276" spans="1:245" x14ac:dyDescent="0.2">
      <c r="A276" s="4">
        <v>50</v>
      </c>
      <c r="B276" s="4">
        <v>0</v>
      </c>
      <c r="C276" s="4">
        <v>0</v>
      </c>
      <c r="D276" s="4">
        <v>1</v>
      </c>
      <c r="E276" s="4">
        <v>209</v>
      </c>
      <c r="F276" s="4">
        <f>ROUND(Source!W252,O276)</f>
        <v>0</v>
      </c>
      <c r="G276" s="4" t="s">
        <v>162</v>
      </c>
      <c r="H276" s="4" t="s">
        <v>163</v>
      </c>
      <c r="I276" s="4"/>
      <c r="J276" s="4"/>
      <c r="K276" s="4">
        <v>209</v>
      </c>
      <c r="L276" s="4">
        <v>23</v>
      </c>
      <c r="M276" s="4">
        <v>3</v>
      </c>
      <c r="N276" s="4" t="s">
        <v>6</v>
      </c>
      <c r="O276" s="4">
        <v>2</v>
      </c>
      <c r="P276" s="4"/>
      <c r="Q276" s="4"/>
      <c r="R276" s="4"/>
      <c r="S276" s="4"/>
      <c r="T276" s="4"/>
      <c r="U276" s="4"/>
      <c r="V276" s="4"/>
      <c r="W276" s="4"/>
    </row>
    <row r="277" spans="1:245" x14ac:dyDescent="0.2">
      <c r="A277" s="4">
        <v>50</v>
      </c>
      <c r="B277" s="4">
        <v>0</v>
      </c>
      <c r="C277" s="4">
        <v>0</v>
      </c>
      <c r="D277" s="4">
        <v>1</v>
      </c>
      <c r="E277" s="4">
        <v>210</v>
      </c>
      <c r="F277" s="4">
        <f>ROUND(Source!X252,O277)</f>
        <v>14662.41</v>
      </c>
      <c r="G277" s="4" t="s">
        <v>164</v>
      </c>
      <c r="H277" s="4" t="s">
        <v>165</v>
      </c>
      <c r="I277" s="4"/>
      <c r="J277" s="4"/>
      <c r="K277" s="4">
        <v>210</v>
      </c>
      <c r="L277" s="4">
        <v>24</v>
      </c>
      <c r="M277" s="4">
        <v>3</v>
      </c>
      <c r="N277" s="4" t="s">
        <v>6</v>
      </c>
      <c r="O277" s="4">
        <v>2</v>
      </c>
      <c r="P277" s="4"/>
      <c r="Q277" s="4"/>
      <c r="R277" s="4"/>
      <c r="S277" s="4"/>
      <c r="T277" s="4"/>
      <c r="U277" s="4"/>
      <c r="V277" s="4"/>
      <c r="W277" s="4"/>
    </row>
    <row r="278" spans="1:245" x14ac:dyDescent="0.2">
      <c r="A278" s="4">
        <v>50</v>
      </c>
      <c r="B278" s="4">
        <v>0</v>
      </c>
      <c r="C278" s="4">
        <v>0</v>
      </c>
      <c r="D278" s="4">
        <v>1</v>
      </c>
      <c r="E278" s="4">
        <v>211</v>
      </c>
      <c r="F278" s="4">
        <f>ROUND(Source!Y252,O278)</f>
        <v>9023.02</v>
      </c>
      <c r="G278" s="4" t="s">
        <v>166</v>
      </c>
      <c r="H278" s="4" t="s">
        <v>167</v>
      </c>
      <c r="I278" s="4"/>
      <c r="J278" s="4"/>
      <c r="K278" s="4">
        <v>211</v>
      </c>
      <c r="L278" s="4">
        <v>25</v>
      </c>
      <c r="M278" s="4">
        <v>3</v>
      </c>
      <c r="N278" s="4" t="s">
        <v>6</v>
      </c>
      <c r="O278" s="4">
        <v>2</v>
      </c>
      <c r="P278" s="4"/>
      <c r="Q278" s="4"/>
      <c r="R278" s="4"/>
      <c r="S278" s="4"/>
      <c r="T278" s="4"/>
      <c r="U278" s="4"/>
      <c r="V278" s="4"/>
      <c r="W278" s="4"/>
    </row>
    <row r="279" spans="1:245" x14ac:dyDescent="0.2">
      <c r="A279" s="4">
        <v>50</v>
      </c>
      <c r="B279" s="4">
        <v>0</v>
      </c>
      <c r="C279" s="4">
        <v>0</v>
      </c>
      <c r="D279" s="4">
        <v>1</v>
      </c>
      <c r="E279" s="4">
        <v>224</v>
      </c>
      <c r="F279" s="4">
        <f>ROUND(Source!AR252,O279)</f>
        <v>46242.98</v>
      </c>
      <c r="G279" s="4" t="s">
        <v>168</v>
      </c>
      <c r="H279" s="4" t="s">
        <v>169</v>
      </c>
      <c r="I279" s="4"/>
      <c r="J279" s="4"/>
      <c r="K279" s="4">
        <v>224</v>
      </c>
      <c r="L279" s="4">
        <v>26</v>
      </c>
      <c r="M279" s="4">
        <v>3</v>
      </c>
      <c r="N279" s="4" t="s">
        <v>6</v>
      </c>
      <c r="O279" s="4">
        <v>2</v>
      </c>
      <c r="P279" s="4"/>
      <c r="Q279" s="4"/>
      <c r="R279" s="4"/>
      <c r="S279" s="4"/>
      <c r="T279" s="4"/>
      <c r="U279" s="4"/>
      <c r="V279" s="4"/>
      <c r="W279" s="4"/>
    </row>
    <row r="281" spans="1:245" x14ac:dyDescent="0.2">
      <c r="A281" s="1">
        <v>4</v>
      </c>
      <c r="B281" s="1">
        <v>1</v>
      </c>
      <c r="C281" s="1"/>
      <c r="D281" s="1">
        <f>ROW(A300)</f>
        <v>300</v>
      </c>
      <c r="E281" s="1"/>
      <c r="F281" s="1" t="s">
        <v>13</v>
      </c>
      <c r="G281" s="1" t="s">
        <v>574</v>
      </c>
      <c r="H281" s="1" t="s">
        <v>6</v>
      </c>
      <c r="I281" s="1">
        <v>0</v>
      </c>
      <c r="J281" s="1"/>
      <c r="K281" s="1">
        <v>0</v>
      </c>
      <c r="L281" s="1"/>
      <c r="M281" s="1"/>
      <c r="N281" s="1"/>
      <c r="O281" s="1"/>
      <c r="P281" s="1"/>
      <c r="Q281" s="1"/>
      <c r="R281" s="1"/>
      <c r="S281" s="1"/>
      <c r="T281" s="1"/>
      <c r="U281" s="1" t="s">
        <v>6</v>
      </c>
      <c r="V281" s="1">
        <v>0</v>
      </c>
      <c r="W281" s="1"/>
      <c r="X281" s="1"/>
      <c r="Y281" s="1"/>
      <c r="Z281" s="1"/>
      <c r="AA281" s="1"/>
      <c r="AB281" s="1" t="s">
        <v>6</v>
      </c>
      <c r="AC281" s="1" t="s">
        <v>6</v>
      </c>
      <c r="AD281" s="1" t="s">
        <v>6</v>
      </c>
      <c r="AE281" s="1" t="s">
        <v>6</v>
      </c>
      <c r="AF281" s="1" t="s">
        <v>6</v>
      </c>
      <c r="AG281" s="1" t="s">
        <v>6</v>
      </c>
      <c r="AH281" s="1"/>
      <c r="AI281" s="1"/>
      <c r="AJ281" s="1"/>
      <c r="AK281" s="1"/>
      <c r="AL281" s="1"/>
      <c r="AM281" s="1"/>
      <c r="AN281" s="1"/>
      <c r="AO281" s="1"/>
      <c r="AP281" s="1" t="s">
        <v>6</v>
      </c>
      <c r="AQ281" s="1" t="s">
        <v>6</v>
      </c>
      <c r="AR281" s="1" t="s">
        <v>6</v>
      </c>
      <c r="AS281" s="1"/>
      <c r="AT281" s="1"/>
      <c r="AU281" s="1"/>
      <c r="AV281" s="1"/>
      <c r="AW281" s="1"/>
      <c r="AX281" s="1"/>
      <c r="AY281" s="1"/>
      <c r="AZ281" s="1" t="s">
        <v>6</v>
      </c>
      <c r="BA281" s="1"/>
      <c r="BB281" s="1" t="s">
        <v>6</v>
      </c>
      <c r="BC281" s="1" t="s">
        <v>6</v>
      </c>
      <c r="BD281" s="1" t="s">
        <v>6</v>
      </c>
      <c r="BE281" s="1" t="s">
        <v>6</v>
      </c>
      <c r="BF281" s="1" t="s">
        <v>6</v>
      </c>
      <c r="BG281" s="1" t="s">
        <v>6</v>
      </c>
      <c r="BH281" s="1" t="s">
        <v>6</v>
      </c>
      <c r="BI281" s="1" t="s">
        <v>6</v>
      </c>
      <c r="BJ281" s="1" t="s">
        <v>6</v>
      </c>
      <c r="BK281" s="1" t="s">
        <v>6</v>
      </c>
      <c r="BL281" s="1" t="s">
        <v>6</v>
      </c>
      <c r="BM281" s="1" t="s">
        <v>6</v>
      </c>
      <c r="BN281" s="1" t="s">
        <v>6</v>
      </c>
      <c r="BO281" s="1" t="s">
        <v>6</v>
      </c>
      <c r="BP281" s="1" t="s">
        <v>6</v>
      </c>
      <c r="BQ281" s="1"/>
      <c r="BR281" s="1"/>
      <c r="BS281" s="1"/>
      <c r="BT281" s="1"/>
      <c r="BU281" s="1"/>
      <c r="BV281" s="1"/>
      <c r="BW281" s="1"/>
      <c r="BX281" s="1">
        <v>0</v>
      </c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>
        <v>0</v>
      </c>
    </row>
    <row r="283" spans="1:245" x14ac:dyDescent="0.2">
      <c r="A283" s="2">
        <v>52</v>
      </c>
      <c r="B283" s="2">
        <f t="shared" ref="B283:G283" si="262">B300</f>
        <v>1</v>
      </c>
      <c r="C283" s="2">
        <f t="shared" si="262"/>
        <v>4</v>
      </c>
      <c r="D283" s="2">
        <f t="shared" si="262"/>
        <v>281</v>
      </c>
      <c r="E283" s="2">
        <f t="shared" si="262"/>
        <v>0</v>
      </c>
      <c r="F283" s="2" t="str">
        <f t="shared" si="262"/>
        <v>Новый раздел</v>
      </c>
      <c r="G283" s="2" t="str">
        <f t="shared" si="262"/>
        <v>Сантехнические работы</v>
      </c>
      <c r="H283" s="2"/>
      <c r="I283" s="2"/>
      <c r="J283" s="2"/>
      <c r="K283" s="2"/>
      <c r="L283" s="2"/>
      <c r="M283" s="2"/>
      <c r="N283" s="2"/>
      <c r="O283" s="2">
        <f t="shared" ref="O283:AT283" si="263">O300</f>
        <v>72381.27</v>
      </c>
      <c r="P283" s="2">
        <f t="shared" si="263"/>
        <v>69288.759999999995</v>
      </c>
      <c r="Q283" s="2">
        <f t="shared" si="263"/>
        <v>663.33</v>
      </c>
      <c r="R283" s="2">
        <f t="shared" si="263"/>
        <v>11.93</v>
      </c>
      <c r="S283" s="2">
        <f t="shared" si="263"/>
        <v>2429.1799999999998</v>
      </c>
      <c r="T283" s="2">
        <f t="shared" si="263"/>
        <v>0</v>
      </c>
      <c r="U283" s="2">
        <f t="shared" si="263"/>
        <v>37.825200000000002</v>
      </c>
      <c r="V283" s="2">
        <f t="shared" si="263"/>
        <v>0.14904000000000001</v>
      </c>
      <c r="W283" s="2">
        <f t="shared" si="263"/>
        <v>0</v>
      </c>
      <c r="X283" s="2">
        <f t="shared" si="263"/>
        <v>2702.76</v>
      </c>
      <c r="Y283" s="2">
        <f t="shared" si="263"/>
        <v>1701.84</v>
      </c>
      <c r="Z283" s="2">
        <f t="shared" si="263"/>
        <v>0</v>
      </c>
      <c r="AA283" s="2">
        <f t="shared" si="263"/>
        <v>0</v>
      </c>
      <c r="AB283" s="2">
        <f t="shared" si="263"/>
        <v>72381.27</v>
      </c>
      <c r="AC283" s="2">
        <f t="shared" si="263"/>
        <v>69288.759999999995</v>
      </c>
      <c r="AD283" s="2">
        <f t="shared" si="263"/>
        <v>663.33</v>
      </c>
      <c r="AE283" s="2">
        <f t="shared" si="263"/>
        <v>11.93</v>
      </c>
      <c r="AF283" s="2">
        <f t="shared" si="263"/>
        <v>2429.1799999999998</v>
      </c>
      <c r="AG283" s="2">
        <f t="shared" si="263"/>
        <v>0</v>
      </c>
      <c r="AH283" s="2">
        <f t="shared" si="263"/>
        <v>37.825200000000002</v>
      </c>
      <c r="AI283" s="2">
        <f t="shared" si="263"/>
        <v>0.14904000000000001</v>
      </c>
      <c r="AJ283" s="2">
        <f t="shared" si="263"/>
        <v>0</v>
      </c>
      <c r="AK283" s="2">
        <f t="shared" si="263"/>
        <v>2702.76</v>
      </c>
      <c r="AL283" s="2">
        <f t="shared" si="263"/>
        <v>1701.84</v>
      </c>
      <c r="AM283" s="2">
        <f t="shared" si="263"/>
        <v>0</v>
      </c>
      <c r="AN283" s="2">
        <f t="shared" si="263"/>
        <v>0</v>
      </c>
      <c r="AO283" s="2">
        <f t="shared" si="263"/>
        <v>0</v>
      </c>
      <c r="AP283" s="2">
        <f t="shared" si="263"/>
        <v>0</v>
      </c>
      <c r="AQ283" s="2">
        <f t="shared" si="263"/>
        <v>0</v>
      </c>
      <c r="AR283" s="2">
        <f t="shared" si="263"/>
        <v>76785.87</v>
      </c>
      <c r="AS283" s="2">
        <f t="shared" si="263"/>
        <v>22756.240000000002</v>
      </c>
      <c r="AT283" s="2">
        <f t="shared" si="263"/>
        <v>54029.63</v>
      </c>
      <c r="AU283" s="2">
        <f t="shared" ref="AU283:BZ283" si="264">AU300</f>
        <v>0</v>
      </c>
      <c r="AV283" s="2">
        <f t="shared" si="264"/>
        <v>69288.759999999995</v>
      </c>
      <c r="AW283" s="2">
        <f t="shared" si="264"/>
        <v>69288.759999999995</v>
      </c>
      <c r="AX283" s="2">
        <f t="shared" si="264"/>
        <v>0</v>
      </c>
      <c r="AY283" s="2">
        <f t="shared" si="264"/>
        <v>69288.759999999995</v>
      </c>
      <c r="AZ283" s="2">
        <f t="shared" si="264"/>
        <v>0</v>
      </c>
      <c r="BA283" s="2">
        <f t="shared" si="264"/>
        <v>0</v>
      </c>
      <c r="BB283" s="2">
        <f t="shared" si="264"/>
        <v>0</v>
      </c>
      <c r="BC283" s="2">
        <f t="shared" si="264"/>
        <v>0</v>
      </c>
      <c r="BD283" s="2">
        <f t="shared" si="264"/>
        <v>0</v>
      </c>
      <c r="BE283" s="2">
        <f t="shared" si="264"/>
        <v>0</v>
      </c>
      <c r="BF283" s="2">
        <f t="shared" si="264"/>
        <v>0</v>
      </c>
      <c r="BG283" s="2">
        <f t="shared" si="264"/>
        <v>0</v>
      </c>
      <c r="BH283" s="2">
        <f t="shared" si="264"/>
        <v>0</v>
      </c>
      <c r="BI283" s="2">
        <f t="shared" si="264"/>
        <v>0</v>
      </c>
      <c r="BJ283" s="2">
        <f t="shared" si="264"/>
        <v>0</v>
      </c>
      <c r="BK283" s="2">
        <f t="shared" si="264"/>
        <v>0</v>
      </c>
      <c r="BL283" s="2">
        <f t="shared" si="264"/>
        <v>0</v>
      </c>
      <c r="BM283" s="2">
        <f t="shared" si="264"/>
        <v>0</v>
      </c>
      <c r="BN283" s="2">
        <f t="shared" si="264"/>
        <v>0</v>
      </c>
      <c r="BO283" s="2">
        <f t="shared" si="264"/>
        <v>0</v>
      </c>
      <c r="BP283" s="2">
        <f t="shared" si="264"/>
        <v>0</v>
      </c>
      <c r="BQ283" s="2">
        <f t="shared" si="264"/>
        <v>0</v>
      </c>
      <c r="BR283" s="2">
        <f t="shared" si="264"/>
        <v>0</v>
      </c>
      <c r="BS283" s="2">
        <f t="shared" si="264"/>
        <v>0</v>
      </c>
      <c r="BT283" s="2">
        <f t="shared" si="264"/>
        <v>0</v>
      </c>
      <c r="BU283" s="2">
        <f t="shared" si="264"/>
        <v>0</v>
      </c>
      <c r="BV283" s="2">
        <f t="shared" si="264"/>
        <v>0</v>
      </c>
      <c r="BW283" s="2">
        <f t="shared" si="264"/>
        <v>0</v>
      </c>
      <c r="BX283" s="2">
        <f t="shared" si="264"/>
        <v>0</v>
      </c>
      <c r="BY283" s="2">
        <f t="shared" si="264"/>
        <v>0</v>
      </c>
      <c r="BZ283" s="2">
        <f t="shared" si="264"/>
        <v>0</v>
      </c>
      <c r="CA283" s="2">
        <f t="shared" ref="CA283:DF283" si="265">CA300</f>
        <v>76785.87</v>
      </c>
      <c r="CB283" s="2">
        <f t="shared" si="265"/>
        <v>22756.240000000002</v>
      </c>
      <c r="CC283" s="2">
        <f t="shared" si="265"/>
        <v>54029.63</v>
      </c>
      <c r="CD283" s="2">
        <f t="shared" si="265"/>
        <v>0</v>
      </c>
      <c r="CE283" s="2">
        <f t="shared" si="265"/>
        <v>69288.759999999995</v>
      </c>
      <c r="CF283" s="2">
        <f t="shared" si="265"/>
        <v>69288.759999999995</v>
      </c>
      <c r="CG283" s="2">
        <f t="shared" si="265"/>
        <v>0</v>
      </c>
      <c r="CH283" s="2">
        <f t="shared" si="265"/>
        <v>69288.759999999995</v>
      </c>
      <c r="CI283" s="2">
        <f t="shared" si="265"/>
        <v>0</v>
      </c>
      <c r="CJ283" s="2">
        <f t="shared" si="265"/>
        <v>0</v>
      </c>
      <c r="CK283" s="2">
        <f t="shared" si="265"/>
        <v>0</v>
      </c>
      <c r="CL283" s="2">
        <f t="shared" si="265"/>
        <v>0</v>
      </c>
      <c r="CM283" s="2">
        <f t="shared" si="265"/>
        <v>0</v>
      </c>
      <c r="CN283" s="2">
        <f t="shared" si="265"/>
        <v>0</v>
      </c>
      <c r="CO283" s="2">
        <f t="shared" si="265"/>
        <v>0</v>
      </c>
      <c r="CP283" s="2">
        <f t="shared" si="265"/>
        <v>0</v>
      </c>
      <c r="CQ283" s="2">
        <f t="shared" si="265"/>
        <v>0</v>
      </c>
      <c r="CR283" s="2">
        <f t="shared" si="265"/>
        <v>0</v>
      </c>
      <c r="CS283" s="2">
        <f t="shared" si="265"/>
        <v>0</v>
      </c>
      <c r="CT283" s="2">
        <f t="shared" si="265"/>
        <v>0</v>
      </c>
      <c r="CU283" s="2">
        <f t="shared" si="265"/>
        <v>0</v>
      </c>
      <c r="CV283" s="2">
        <f t="shared" si="265"/>
        <v>0</v>
      </c>
      <c r="CW283" s="2">
        <f t="shared" si="265"/>
        <v>0</v>
      </c>
      <c r="CX283" s="2">
        <f t="shared" si="265"/>
        <v>0</v>
      </c>
      <c r="CY283" s="2">
        <f t="shared" si="265"/>
        <v>0</v>
      </c>
      <c r="CZ283" s="2">
        <f t="shared" si="265"/>
        <v>0</v>
      </c>
      <c r="DA283" s="2">
        <f t="shared" si="265"/>
        <v>0</v>
      </c>
      <c r="DB283" s="2">
        <f t="shared" si="265"/>
        <v>0</v>
      </c>
      <c r="DC283" s="2">
        <f t="shared" si="265"/>
        <v>0</v>
      </c>
      <c r="DD283" s="2">
        <f t="shared" si="265"/>
        <v>0</v>
      </c>
      <c r="DE283" s="2">
        <f t="shared" si="265"/>
        <v>0</v>
      </c>
      <c r="DF283" s="2">
        <f t="shared" si="265"/>
        <v>0</v>
      </c>
      <c r="DG283" s="3">
        <f t="shared" ref="DG283:EL283" si="266">DG300</f>
        <v>0</v>
      </c>
      <c r="DH283" s="3">
        <f t="shared" si="266"/>
        <v>0</v>
      </c>
      <c r="DI283" s="3">
        <f t="shared" si="266"/>
        <v>0</v>
      </c>
      <c r="DJ283" s="3">
        <f t="shared" si="266"/>
        <v>0</v>
      </c>
      <c r="DK283" s="3">
        <f t="shared" si="266"/>
        <v>0</v>
      </c>
      <c r="DL283" s="3">
        <f t="shared" si="266"/>
        <v>0</v>
      </c>
      <c r="DM283" s="3">
        <f t="shared" si="266"/>
        <v>0</v>
      </c>
      <c r="DN283" s="3">
        <f t="shared" si="266"/>
        <v>0</v>
      </c>
      <c r="DO283" s="3">
        <f t="shared" si="266"/>
        <v>0</v>
      </c>
      <c r="DP283" s="3">
        <f t="shared" si="266"/>
        <v>0</v>
      </c>
      <c r="DQ283" s="3">
        <f t="shared" si="266"/>
        <v>0</v>
      </c>
      <c r="DR283" s="3">
        <f t="shared" si="266"/>
        <v>0</v>
      </c>
      <c r="DS283" s="3">
        <f t="shared" si="266"/>
        <v>0</v>
      </c>
      <c r="DT283" s="3">
        <f t="shared" si="266"/>
        <v>0</v>
      </c>
      <c r="DU283" s="3">
        <f t="shared" si="266"/>
        <v>0</v>
      </c>
      <c r="DV283" s="3">
        <f t="shared" si="266"/>
        <v>0</v>
      </c>
      <c r="DW283" s="3">
        <f t="shared" si="266"/>
        <v>0</v>
      </c>
      <c r="DX283" s="3">
        <f t="shared" si="266"/>
        <v>0</v>
      </c>
      <c r="DY283" s="3">
        <f t="shared" si="266"/>
        <v>0</v>
      </c>
      <c r="DZ283" s="3">
        <f t="shared" si="266"/>
        <v>0</v>
      </c>
      <c r="EA283" s="3">
        <f t="shared" si="266"/>
        <v>0</v>
      </c>
      <c r="EB283" s="3">
        <f t="shared" si="266"/>
        <v>0</v>
      </c>
      <c r="EC283" s="3">
        <f t="shared" si="266"/>
        <v>0</v>
      </c>
      <c r="ED283" s="3">
        <f t="shared" si="266"/>
        <v>0</v>
      </c>
      <c r="EE283" s="3">
        <f t="shared" si="266"/>
        <v>0</v>
      </c>
      <c r="EF283" s="3">
        <f t="shared" si="266"/>
        <v>0</v>
      </c>
      <c r="EG283" s="3">
        <f t="shared" si="266"/>
        <v>0</v>
      </c>
      <c r="EH283" s="3">
        <f t="shared" si="266"/>
        <v>0</v>
      </c>
      <c r="EI283" s="3">
        <f t="shared" si="266"/>
        <v>0</v>
      </c>
      <c r="EJ283" s="3">
        <f t="shared" si="266"/>
        <v>0</v>
      </c>
      <c r="EK283" s="3">
        <f t="shared" si="266"/>
        <v>0</v>
      </c>
      <c r="EL283" s="3">
        <f t="shared" si="266"/>
        <v>0</v>
      </c>
      <c r="EM283" s="3">
        <f t="shared" ref="EM283:FR283" si="267">EM300</f>
        <v>0</v>
      </c>
      <c r="EN283" s="3">
        <f t="shared" si="267"/>
        <v>0</v>
      </c>
      <c r="EO283" s="3">
        <f t="shared" si="267"/>
        <v>0</v>
      </c>
      <c r="EP283" s="3">
        <f t="shared" si="267"/>
        <v>0</v>
      </c>
      <c r="EQ283" s="3">
        <f t="shared" si="267"/>
        <v>0</v>
      </c>
      <c r="ER283" s="3">
        <f t="shared" si="267"/>
        <v>0</v>
      </c>
      <c r="ES283" s="3">
        <f t="shared" si="267"/>
        <v>0</v>
      </c>
      <c r="ET283" s="3">
        <f t="shared" si="267"/>
        <v>0</v>
      </c>
      <c r="EU283" s="3">
        <f t="shared" si="267"/>
        <v>0</v>
      </c>
      <c r="EV283" s="3">
        <f t="shared" si="267"/>
        <v>0</v>
      </c>
      <c r="EW283" s="3">
        <f t="shared" si="267"/>
        <v>0</v>
      </c>
      <c r="EX283" s="3">
        <f t="shared" si="267"/>
        <v>0</v>
      </c>
      <c r="EY283" s="3">
        <f t="shared" si="267"/>
        <v>0</v>
      </c>
      <c r="EZ283" s="3">
        <f t="shared" si="267"/>
        <v>0</v>
      </c>
      <c r="FA283" s="3">
        <f t="shared" si="267"/>
        <v>0</v>
      </c>
      <c r="FB283" s="3">
        <f t="shared" si="267"/>
        <v>0</v>
      </c>
      <c r="FC283" s="3">
        <f t="shared" si="267"/>
        <v>0</v>
      </c>
      <c r="FD283" s="3">
        <f t="shared" si="267"/>
        <v>0</v>
      </c>
      <c r="FE283" s="3">
        <f t="shared" si="267"/>
        <v>0</v>
      </c>
      <c r="FF283" s="3">
        <f t="shared" si="267"/>
        <v>0</v>
      </c>
      <c r="FG283" s="3">
        <f t="shared" si="267"/>
        <v>0</v>
      </c>
      <c r="FH283" s="3">
        <f t="shared" si="267"/>
        <v>0</v>
      </c>
      <c r="FI283" s="3">
        <f t="shared" si="267"/>
        <v>0</v>
      </c>
      <c r="FJ283" s="3">
        <f t="shared" si="267"/>
        <v>0</v>
      </c>
      <c r="FK283" s="3">
        <f t="shared" si="267"/>
        <v>0</v>
      </c>
      <c r="FL283" s="3">
        <f t="shared" si="267"/>
        <v>0</v>
      </c>
      <c r="FM283" s="3">
        <f t="shared" si="267"/>
        <v>0</v>
      </c>
      <c r="FN283" s="3">
        <f t="shared" si="267"/>
        <v>0</v>
      </c>
      <c r="FO283" s="3">
        <f t="shared" si="267"/>
        <v>0</v>
      </c>
      <c r="FP283" s="3">
        <f t="shared" si="267"/>
        <v>0</v>
      </c>
      <c r="FQ283" s="3">
        <f t="shared" si="267"/>
        <v>0</v>
      </c>
      <c r="FR283" s="3">
        <f t="shared" si="267"/>
        <v>0</v>
      </c>
      <c r="FS283" s="3">
        <f t="shared" ref="FS283:GX283" si="268">FS300</f>
        <v>0</v>
      </c>
      <c r="FT283" s="3">
        <f t="shared" si="268"/>
        <v>0</v>
      </c>
      <c r="FU283" s="3">
        <f t="shared" si="268"/>
        <v>0</v>
      </c>
      <c r="FV283" s="3">
        <f t="shared" si="268"/>
        <v>0</v>
      </c>
      <c r="FW283" s="3">
        <f t="shared" si="268"/>
        <v>0</v>
      </c>
      <c r="FX283" s="3">
        <f t="shared" si="268"/>
        <v>0</v>
      </c>
      <c r="FY283" s="3">
        <f t="shared" si="268"/>
        <v>0</v>
      </c>
      <c r="FZ283" s="3">
        <f t="shared" si="268"/>
        <v>0</v>
      </c>
      <c r="GA283" s="3">
        <f t="shared" si="268"/>
        <v>0</v>
      </c>
      <c r="GB283" s="3">
        <f t="shared" si="268"/>
        <v>0</v>
      </c>
      <c r="GC283" s="3">
        <f t="shared" si="268"/>
        <v>0</v>
      </c>
      <c r="GD283" s="3">
        <f t="shared" si="268"/>
        <v>0</v>
      </c>
      <c r="GE283" s="3">
        <f t="shared" si="268"/>
        <v>0</v>
      </c>
      <c r="GF283" s="3">
        <f t="shared" si="268"/>
        <v>0</v>
      </c>
      <c r="GG283" s="3">
        <f t="shared" si="268"/>
        <v>0</v>
      </c>
      <c r="GH283" s="3">
        <f t="shared" si="268"/>
        <v>0</v>
      </c>
      <c r="GI283" s="3">
        <f t="shared" si="268"/>
        <v>0</v>
      </c>
      <c r="GJ283" s="3">
        <f t="shared" si="268"/>
        <v>0</v>
      </c>
      <c r="GK283" s="3">
        <f t="shared" si="268"/>
        <v>0</v>
      </c>
      <c r="GL283" s="3">
        <f t="shared" si="268"/>
        <v>0</v>
      </c>
      <c r="GM283" s="3">
        <f t="shared" si="268"/>
        <v>0</v>
      </c>
      <c r="GN283" s="3">
        <f t="shared" si="268"/>
        <v>0</v>
      </c>
      <c r="GO283" s="3">
        <f t="shared" si="268"/>
        <v>0</v>
      </c>
      <c r="GP283" s="3">
        <f t="shared" si="268"/>
        <v>0</v>
      </c>
      <c r="GQ283" s="3">
        <f t="shared" si="268"/>
        <v>0</v>
      </c>
      <c r="GR283" s="3">
        <f t="shared" si="268"/>
        <v>0</v>
      </c>
      <c r="GS283" s="3">
        <f t="shared" si="268"/>
        <v>0</v>
      </c>
      <c r="GT283" s="3">
        <f t="shared" si="268"/>
        <v>0</v>
      </c>
      <c r="GU283" s="3">
        <f t="shared" si="268"/>
        <v>0</v>
      </c>
      <c r="GV283" s="3">
        <f t="shared" si="268"/>
        <v>0</v>
      </c>
      <c r="GW283" s="3">
        <f t="shared" si="268"/>
        <v>0</v>
      </c>
      <c r="GX283" s="3">
        <f t="shared" si="268"/>
        <v>0</v>
      </c>
    </row>
    <row r="285" spans="1:245" x14ac:dyDescent="0.2">
      <c r="A285">
        <v>17</v>
      </c>
      <c r="B285">
        <v>1</v>
      </c>
      <c r="C285">
        <f>ROW(SmtRes!A372)</f>
        <v>372</v>
      </c>
      <c r="D285">
        <f>ROW(EtalonRes!A344)</f>
        <v>344</v>
      </c>
      <c r="E285" t="s">
        <v>575</v>
      </c>
      <c r="F285" t="s">
        <v>576</v>
      </c>
      <c r="G285" t="s">
        <v>577</v>
      </c>
      <c r="H285" t="s">
        <v>578</v>
      </c>
      <c r="I285">
        <f>ROUND(3/10,9)</f>
        <v>0.3</v>
      </c>
      <c r="J285">
        <v>0</v>
      </c>
      <c r="O285">
        <f t="shared" ref="O285:O298" si="269">ROUND(CP285,2)</f>
        <v>348.94</v>
      </c>
      <c r="P285">
        <f t="shared" ref="P285:P298" si="270">ROUND(CQ285*I285,2)</f>
        <v>112.53</v>
      </c>
      <c r="Q285">
        <f t="shared" ref="Q285:Q298" si="271">ROUND(CR285*I285,2)</f>
        <v>27.5</v>
      </c>
      <c r="R285">
        <f t="shared" ref="R285:R298" si="272">ROUND(CS285*I285,2)</f>
        <v>6.2</v>
      </c>
      <c r="S285">
        <f t="shared" ref="S285:S298" si="273">ROUND(CT285*I285,2)</f>
        <v>208.91</v>
      </c>
      <c r="T285">
        <f t="shared" ref="T285:T298" si="274">ROUND(CU285*I285,2)</f>
        <v>0</v>
      </c>
      <c r="U285">
        <f t="shared" ref="U285:U298" si="275">CV285*I285</f>
        <v>3.2364000000000002</v>
      </c>
      <c r="V285">
        <f t="shared" ref="V285:V298" si="276">CW285*I285</f>
        <v>7.5600000000000001E-2</v>
      </c>
      <c r="W285">
        <f t="shared" ref="W285:W298" si="277">ROUND(CX285*I285,2)</f>
        <v>0</v>
      </c>
      <c r="X285">
        <f t="shared" ref="X285:X298" si="278">ROUND(CY285,2)</f>
        <v>247.38</v>
      </c>
      <c r="Y285">
        <f t="shared" ref="Y285:Y298" si="279">ROUND(CZ285,2)</f>
        <v>152.72999999999999</v>
      </c>
      <c r="AA285">
        <v>16808636</v>
      </c>
      <c r="AB285">
        <f t="shared" ref="AB285:AB298" si="280">ROUND((AC285+AD285+AF285),2)</f>
        <v>173.34</v>
      </c>
      <c r="AC285">
        <f t="shared" ref="AC285:AC298" si="281">ROUND((ES285),2)</f>
        <v>55.9</v>
      </c>
      <c r="AD285">
        <f>ROUND(((((ET285*1.2))-((EU285*1.2)))+AE285),2)</f>
        <v>13.66</v>
      </c>
      <c r="AE285">
        <f>ROUND(((EU285*1.2)),2)</f>
        <v>3.08</v>
      </c>
      <c r="AF285">
        <f>ROUND(((EV285*1.2)),2)</f>
        <v>103.78</v>
      </c>
      <c r="AG285">
        <f t="shared" ref="AG285:AG298" si="282">ROUND((AP285),2)</f>
        <v>0</v>
      </c>
      <c r="AH285">
        <f>((EW285*1.2))</f>
        <v>10.788</v>
      </c>
      <c r="AI285">
        <f>((EX285*1.2))</f>
        <v>0.252</v>
      </c>
      <c r="AJ285">
        <f t="shared" ref="AJ285:AJ298" si="283">(AS285)</f>
        <v>0</v>
      </c>
      <c r="AK285">
        <v>153.77000000000001</v>
      </c>
      <c r="AL285">
        <v>55.9</v>
      </c>
      <c r="AM285">
        <v>11.39</v>
      </c>
      <c r="AN285">
        <v>2.57</v>
      </c>
      <c r="AO285">
        <v>86.48</v>
      </c>
      <c r="AP285">
        <v>0</v>
      </c>
      <c r="AQ285">
        <v>8.99</v>
      </c>
      <c r="AR285">
        <v>0.21</v>
      </c>
      <c r="AS285">
        <v>0</v>
      </c>
      <c r="AT285">
        <v>115</v>
      </c>
      <c r="AU285">
        <v>71</v>
      </c>
      <c r="AV285">
        <v>1</v>
      </c>
      <c r="AW285">
        <v>1</v>
      </c>
      <c r="AZ285">
        <v>6.71</v>
      </c>
      <c r="BA285">
        <v>6.71</v>
      </c>
      <c r="BB285">
        <v>6.71</v>
      </c>
      <c r="BC285">
        <v>6.71</v>
      </c>
      <c r="BD285" t="s">
        <v>6</v>
      </c>
      <c r="BE285" t="s">
        <v>6</v>
      </c>
      <c r="BF285" t="s">
        <v>6</v>
      </c>
      <c r="BG285" t="s">
        <v>6</v>
      </c>
      <c r="BH285">
        <v>0</v>
      </c>
      <c r="BI285">
        <v>1</v>
      </c>
      <c r="BJ285" t="s">
        <v>579</v>
      </c>
      <c r="BM285">
        <v>17001</v>
      </c>
      <c r="BN285">
        <v>0</v>
      </c>
      <c r="BO285" t="s">
        <v>6</v>
      </c>
      <c r="BP285">
        <v>0</v>
      </c>
      <c r="BQ285">
        <v>2</v>
      </c>
      <c r="BR285">
        <v>0</v>
      </c>
      <c r="BS285">
        <v>6.71</v>
      </c>
      <c r="BT285">
        <v>1</v>
      </c>
      <c r="BU285">
        <v>1</v>
      </c>
      <c r="BV285">
        <v>1</v>
      </c>
      <c r="BW285">
        <v>1</v>
      </c>
      <c r="BX285">
        <v>1</v>
      </c>
      <c r="BY285" t="s">
        <v>6</v>
      </c>
      <c r="BZ285">
        <v>128</v>
      </c>
      <c r="CA285">
        <v>83</v>
      </c>
      <c r="CE285">
        <v>0</v>
      </c>
      <c r="CF285">
        <v>0</v>
      </c>
      <c r="CG285">
        <v>0</v>
      </c>
      <c r="CM285">
        <v>0</v>
      </c>
      <c r="CN285" t="s">
        <v>580</v>
      </c>
      <c r="CO285">
        <v>0</v>
      </c>
      <c r="CP285">
        <f t="shared" ref="CP285:CP298" si="284">(P285+Q285+S285)</f>
        <v>348.94</v>
      </c>
      <c r="CQ285">
        <f t="shared" ref="CQ285:CQ298" si="285">AC285*BC285</f>
        <v>375.089</v>
      </c>
      <c r="CR285">
        <f t="shared" ref="CR285:CR298" si="286">AD285*BB285</f>
        <v>91.658600000000007</v>
      </c>
      <c r="CS285">
        <f t="shared" ref="CS285:CS298" si="287">AE285*BS285</f>
        <v>20.666800000000002</v>
      </c>
      <c r="CT285">
        <f t="shared" ref="CT285:CT298" si="288">AF285*BA285</f>
        <v>696.36379999999997</v>
      </c>
      <c r="CU285">
        <f t="shared" ref="CU285:CU298" si="289">AG285</f>
        <v>0</v>
      </c>
      <c r="CV285">
        <f t="shared" ref="CV285:CV298" si="290">AH285</f>
        <v>10.788</v>
      </c>
      <c r="CW285">
        <f t="shared" ref="CW285:CW298" si="291">AI285</f>
        <v>0.252</v>
      </c>
      <c r="CX285">
        <f t="shared" ref="CX285:CX298" si="292">AJ285</f>
        <v>0</v>
      </c>
      <c r="CY285">
        <f t="shared" ref="CY285:CY298" si="293">(((S285+R285)*AT285)/100)</f>
        <v>247.37649999999996</v>
      </c>
      <c r="CZ285">
        <f t="shared" ref="CZ285:CZ298" si="294">(((S285+R285)*AU285)/100)</f>
        <v>152.72809999999998</v>
      </c>
      <c r="DC285" t="s">
        <v>6</v>
      </c>
      <c r="DD285" t="s">
        <v>6</v>
      </c>
      <c r="DE285" t="s">
        <v>443</v>
      </c>
      <c r="DF285" t="s">
        <v>443</v>
      </c>
      <c r="DG285" t="s">
        <v>443</v>
      </c>
      <c r="DH285" t="s">
        <v>6</v>
      </c>
      <c r="DI285" t="s">
        <v>443</v>
      </c>
      <c r="DJ285" t="s">
        <v>443</v>
      </c>
      <c r="DK285" t="s">
        <v>6</v>
      </c>
      <c r="DL285" t="s">
        <v>6</v>
      </c>
      <c r="DM285" t="s">
        <v>6</v>
      </c>
      <c r="DN285">
        <v>0</v>
      </c>
      <c r="DO285">
        <v>0</v>
      </c>
      <c r="DP285">
        <v>1</v>
      </c>
      <c r="DQ285">
        <v>1</v>
      </c>
      <c r="DU285">
        <v>1013</v>
      </c>
      <c r="DV285" t="s">
        <v>578</v>
      </c>
      <c r="DW285" t="s">
        <v>578</v>
      </c>
      <c r="DX285">
        <v>1</v>
      </c>
      <c r="EE285">
        <v>16510515</v>
      </c>
      <c r="EF285">
        <v>2</v>
      </c>
      <c r="EG285" t="s">
        <v>20</v>
      </c>
      <c r="EH285">
        <v>0</v>
      </c>
      <c r="EI285" t="s">
        <v>6</v>
      </c>
      <c r="EJ285">
        <v>1</v>
      </c>
      <c r="EK285">
        <v>17001</v>
      </c>
      <c r="EL285" t="s">
        <v>581</v>
      </c>
      <c r="EM285" t="s">
        <v>582</v>
      </c>
      <c r="EO285" t="s">
        <v>583</v>
      </c>
      <c r="EQ285">
        <v>131072</v>
      </c>
      <c r="ER285">
        <v>153.77000000000001</v>
      </c>
      <c r="ES285">
        <v>55.9</v>
      </c>
      <c r="ET285">
        <v>11.39</v>
      </c>
      <c r="EU285">
        <v>2.57</v>
      </c>
      <c r="EV285">
        <v>86.48</v>
      </c>
      <c r="EW285">
        <v>8.99</v>
      </c>
      <c r="EX285">
        <v>0.21</v>
      </c>
      <c r="EY285">
        <v>0</v>
      </c>
      <c r="FQ285">
        <v>0</v>
      </c>
      <c r="FR285">
        <f t="shared" ref="FR285:FR298" si="295">ROUND(IF(AND(BH285=3,BI285=3),P285,0),2)</f>
        <v>0</v>
      </c>
      <c r="FS285">
        <v>0</v>
      </c>
      <c r="FT285" t="s">
        <v>23</v>
      </c>
      <c r="FU285" t="s">
        <v>24</v>
      </c>
      <c r="FX285">
        <v>115.2</v>
      </c>
      <c r="FY285">
        <v>70.55</v>
      </c>
      <c r="GA285" t="s">
        <v>6</v>
      </c>
      <c r="GD285">
        <v>0</v>
      </c>
      <c r="GF285">
        <v>-480512061</v>
      </c>
      <c r="GG285">
        <v>1</v>
      </c>
      <c r="GH285">
        <v>1</v>
      </c>
      <c r="GI285">
        <v>4</v>
      </c>
      <c r="GJ285">
        <v>0</v>
      </c>
      <c r="GK285">
        <f>ROUND(R285*(R12)/100,2)</f>
        <v>0</v>
      </c>
      <c r="GL285">
        <f t="shared" ref="GL285:GL298" si="296">ROUND(IF(AND(BH285=3,BI285=3,FS285&lt;&gt;0),P285,0),2)</f>
        <v>0</v>
      </c>
      <c r="GM285">
        <f t="shared" ref="GM285:GM298" si="297">ROUND(O285+X285+Y285+GK285,2)+GX285</f>
        <v>749.05</v>
      </c>
      <c r="GN285">
        <f t="shared" ref="GN285:GN298" si="298">IF(OR(BI285=0,BI285=1),ROUND(O285+X285+Y285+GK285,2),0)</f>
        <v>749.05</v>
      </c>
      <c r="GO285">
        <f t="shared" ref="GO285:GO298" si="299">IF(BI285=2,ROUND(O285+X285+Y285+GK285,2),0)</f>
        <v>0</v>
      </c>
      <c r="GP285">
        <f t="shared" ref="GP285:GP298" si="300">IF(BI285=4,ROUND(O285+X285+Y285+GK285,2)+GX285,0)</f>
        <v>0</v>
      </c>
      <c r="GR285">
        <v>0</v>
      </c>
      <c r="GS285">
        <v>3</v>
      </c>
      <c r="GT285">
        <v>0</v>
      </c>
      <c r="GU285" t="s">
        <v>6</v>
      </c>
      <c r="GV285">
        <f t="shared" ref="GV285:GV298" si="301">ROUND((GT285),2)</f>
        <v>0</v>
      </c>
      <c r="GW285">
        <v>1</v>
      </c>
      <c r="GX285">
        <f t="shared" ref="GX285:GX298" si="302">ROUND(HC285*I285,2)</f>
        <v>0</v>
      </c>
      <c r="HA285">
        <v>0</v>
      </c>
      <c r="HB285">
        <v>0</v>
      </c>
      <c r="HC285">
        <f t="shared" ref="HC285:HC298" si="303">GV285*GW285</f>
        <v>0</v>
      </c>
      <c r="IK285">
        <v>0</v>
      </c>
    </row>
    <row r="286" spans="1:245" x14ac:dyDescent="0.2">
      <c r="A286">
        <v>18</v>
      </c>
      <c r="B286">
        <v>1</v>
      </c>
      <c r="C286">
        <v>371</v>
      </c>
      <c r="E286" t="s">
        <v>584</v>
      </c>
      <c r="F286" t="s">
        <v>585</v>
      </c>
      <c r="G286" t="s">
        <v>586</v>
      </c>
      <c r="H286" t="s">
        <v>182</v>
      </c>
      <c r="I286">
        <f>I285*J286</f>
        <v>3</v>
      </c>
      <c r="J286">
        <v>10</v>
      </c>
      <c r="O286">
        <f t="shared" si="269"/>
        <v>6529.97</v>
      </c>
      <c r="P286">
        <f t="shared" si="270"/>
        <v>6529.97</v>
      </c>
      <c r="Q286">
        <f t="shared" si="271"/>
        <v>0</v>
      </c>
      <c r="R286">
        <f t="shared" si="272"/>
        <v>0</v>
      </c>
      <c r="S286">
        <f t="shared" si="273"/>
        <v>0</v>
      </c>
      <c r="T286">
        <f t="shared" si="274"/>
        <v>0</v>
      </c>
      <c r="U286">
        <f t="shared" si="275"/>
        <v>0</v>
      </c>
      <c r="V286">
        <f t="shared" si="276"/>
        <v>0</v>
      </c>
      <c r="W286">
        <f t="shared" si="277"/>
        <v>0</v>
      </c>
      <c r="X286">
        <f t="shared" si="278"/>
        <v>0</v>
      </c>
      <c r="Y286">
        <f t="shared" si="279"/>
        <v>0</v>
      </c>
      <c r="AA286">
        <v>16808636</v>
      </c>
      <c r="AB286">
        <f t="shared" si="280"/>
        <v>324.39</v>
      </c>
      <c r="AC286">
        <f t="shared" si="281"/>
        <v>324.39</v>
      </c>
      <c r="AD286">
        <f>ROUND((((ET286)-(EU286))+AE286),2)</f>
        <v>0</v>
      </c>
      <c r="AE286">
        <f>ROUND((EU286),2)</f>
        <v>0</v>
      </c>
      <c r="AF286">
        <f>ROUND((EV286),2)</f>
        <v>0</v>
      </c>
      <c r="AG286">
        <f t="shared" si="282"/>
        <v>0</v>
      </c>
      <c r="AH286">
        <f>(EW286)</f>
        <v>0</v>
      </c>
      <c r="AI286">
        <f>(EX286)</f>
        <v>0</v>
      </c>
      <c r="AJ286">
        <f t="shared" si="283"/>
        <v>0</v>
      </c>
      <c r="AK286">
        <v>324.39</v>
      </c>
      <c r="AL286">
        <v>324.39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115</v>
      </c>
      <c r="AU286">
        <v>71</v>
      </c>
      <c r="AV286">
        <v>1</v>
      </c>
      <c r="AW286">
        <v>1</v>
      </c>
      <c r="AZ286">
        <v>6.71</v>
      </c>
      <c r="BA286">
        <v>1</v>
      </c>
      <c r="BB286">
        <v>1</v>
      </c>
      <c r="BC286">
        <v>6.71</v>
      </c>
      <c r="BD286" t="s">
        <v>6</v>
      </c>
      <c r="BE286" t="s">
        <v>6</v>
      </c>
      <c r="BF286" t="s">
        <v>6</v>
      </c>
      <c r="BG286" t="s">
        <v>6</v>
      </c>
      <c r="BH286">
        <v>3</v>
      </c>
      <c r="BI286">
        <v>1</v>
      </c>
      <c r="BJ286" t="s">
        <v>587</v>
      </c>
      <c r="BM286">
        <v>17001</v>
      </c>
      <c r="BN286">
        <v>0</v>
      </c>
      <c r="BO286" t="s">
        <v>6</v>
      </c>
      <c r="BP286">
        <v>0</v>
      </c>
      <c r="BQ286">
        <v>2</v>
      </c>
      <c r="BR286">
        <v>0</v>
      </c>
      <c r="BS286">
        <v>1</v>
      </c>
      <c r="BT286">
        <v>1</v>
      </c>
      <c r="BU286">
        <v>1</v>
      </c>
      <c r="BV286">
        <v>1</v>
      </c>
      <c r="BW286">
        <v>1</v>
      </c>
      <c r="BX286">
        <v>1</v>
      </c>
      <c r="BY286" t="s">
        <v>6</v>
      </c>
      <c r="BZ286">
        <v>128</v>
      </c>
      <c r="CA286">
        <v>83</v>
      </c>
      <c r="CE286">
        <v>0</v>
      </c>
      <c r="CF286">
        <v>0</v>
      </c>
      <c r="CG286">
        <v>0</v>
      </c>
      <c r="CM286">
        <v>0</v>
      </c>
      <c r="CN286" t="s">
        <v>6</v>
      </c>
      <c r="CO286">
        <v>0</v>
      </c>
      <c r="CP286">
        <f t="shared" si="284"/>
        <v>6529.97</v>
      </c>
      <c r="CQ286">
        <f t="shared" si="285"/>
        <v>2176.6569</v>
      </c>
      <c r="CR286">
        <f t="shared" si="286"/>
        <v>0</v>
      </c>
      <c r="CS286">
        <f t="shared" si="287"/>
        <v>0</v>
      </c>
      <c r="CT286">
        <f t="shared" si="288"/>
        <v>0</v>
      </c>
      <c r="CU286">
        <f t="shared" si="289"/>
        <v>0</v>
      </c>
      <c r="CV286">
        <f t="shared" si="290"/>
        <v>0</v>
      </c>
      <c r="CW286">
        <f t="shared" si="291"/>
        <v>0</v>
      </c>
      <c r="CX286">
        <f t="shared" si="292"/>
        <v>0</v>
      </c>
      <c r="CY286">
        <f t="shared" si="293"/>
        <v>0</v>
      </c>
      <c r="CZ286">
        <f t="shared" si="294"/>
        <v>0</v>
      </c>
      <c r="DC286" t="s">
        <v>6</v>
      </c>
      <c r="DD286" t="s">
        <v>6</v>
      </c>
      <c r="DE286" t="s">
        <v>6</v>
      </c>
      <c r="DF286" t="s">
        <v>6</v>
      </c>
      <c r="DG286" t="s">
        <v>6</v>
      </c>
      <c r="DH286" t="s">
        <v>6</v>
      </c>
      <c r="DI286" t="s">
        <v>6</v>
      </c>
      <c r="DJ286" t="s">
        <v>6</v>
      </c>
      <c r="DK286" t="s">
        <v>6</v>
      </c>
      <c r="DL286" t="s">
        <v>6</v>
      </c>
      <c r="DM286" t="s">
        <v>6</v>
      </c>
      <c r="DN286">
        <v>0</v>
      </c>
      <c r="DO286">
        <v>0</v>
      </c>
      <c r="DP286">
        <v>1</v>
      </c>
      <c r="DQ286">
        <v>1</v>
      </c>
      <c r="DU286">
        <v>1013</v>
      </c>
      <c r="DV286" t="s">
        <v>182</v>
      </c>
      <c r="DW286" t="s">
        <v>182</v>
      </c>
      <c r="DX286">
        <v>1</v>
      </c>
      <c r="EE286">
        <v>16510515</v>
      </c>
      <c r="EF286">
        <v>2</v>
      </c>
      <c r="EG286" t="s">
        <v>20</v>
      </c>
      <c r="EH286">
        <v>0</v>
      </c>
      <c r="EI286" t="s">
        <v>6</v>
      </c>
      <c r="EJ286">
        <v>1</v>
      </c>
      <c r="EK286">
        <v>17001</v>
      </c>
      <c r="EL286" t="s">
        <v>581</v>
      </c>
      <c r="EM286" t="s">
        <v>582</v>
      </c>
      <c r="EO286" t="s">
        <v>6</v>
      </c>
      <c r="EQ286">
        <v>0</v>
      </c>
      <c r="ER286">
        <v>324.39</v>
      </c>
      <c r="ES286">
        <v>324.39</v>
      </c>
      <c r="ET286">
        <v>0</v>
      </c>
      <c r="EU286">
        <v>0</v>
      </c>
      <c r="EV286">
        <v>0</v>
      </c>
      <c r="EW286">
        <v>0</v>
      </c>
      <c r="EX286">
        <v>0</v>
      </c>
      <c r="FQ286">
        <v>0</v>
      </c>
      <c r="FR286">
        <f t="shared" si="295"/>
        <v>0</v>
      </c>
      <c r="FS286">
        <v>0</v>
      </c>
      <c r="FT286" t="s">
        <v>23</v>
      </c>
      <c r="FU286" t="s">
        <v>24</v>
      </c>
      <c r="FX286">
        <v>115.2</v>
      </c>
      <c r="FY286">
        <v>70.55</v>
      </c>
      <c r="GA286" t="s">
        <v>6</v>
      </c>
      <c r="GD286">
        <v>0</v>
      </c>
      <c r="GF286">
        <v>473476463</v>
      </c>
      <c r="GG286">
        <v>1</v>
      </c>
      <c r="GH286">
        <v>1</v>
      </c>
      <c r="GI286">
        <v>4</v>
      </c>
      <c r="GJ286">
        <v>0</v>
      </c>
      <c r="GK286">
        <f>ROUND(R286*(R12)/100,2)</f>
        <v>0</v>
      </c>
      <c r="GL286">
        <f t="shared" si="296"/>
        <v>0</v>
      </c>
      <c r="GM286">
        <f t="shared" si="297"/>
        <v>6529.97</v>
      </c>
      <c r="GN286">
        <f t="shared" si="298"/>
        <v>6529.97</v>
      </c>
      <c r="GO286">
        <f t="shared" si="299"/>
        <v>0</v>
      </c>
      <c r="GP286">
        <f t="shared" si="300"/>
        <v>0</v>
      </c>
      <c r="GR286">
        <v>0</v>
      </c>
      <c r="GS286">
        <v>3</v>
      </c>
      <c r="GT286">
        <v>0</v>
      </c>
      <c r="GU286" t="s">
        <v>6</v>
      </c>
      <c r="GV286">
        <f t="shared" si="301"/>
        <v>0</v>
      </c>
      <c r="GW286">
        <v>1</v>
      </c>
      <c r="GX286">
        <f t="shared" si="302"/>
        <v>0</v>
      </c>
      <c r="HA286">
        <v>0</v>
      </c>
      <c r="HB286">
        <v>0</v>
      </c>
      <c r="HC286">
        <f t="shared" si="303"/>
        <v>0</v>
      </c>
      <c r="IK286">
        <v>0</v>
      </c>
    </row>
    <row r="287" spans="1:245" x14ac:dyDescent="0.2">
      <c r="A287">
        <v>18</v>
      </c>
      <c r="B287">
        <v>1</v>
      </c>
      <c r="C287">
        <v>372</v>
      </c>
      <c r="E287" t="s">
        <v>588</v>
      </c>
      <c r="F287" t="s">
        <v>589</v>
      </c>
      <c r="G287" t="s">
        <v>590</v>
      </c>
      <c r="H287" t="s">
        <v>182</v>
      </c>
      <c r="I287">
        <f>I285*J287</f>
        <v>3</v>
      </c>
      <c r="J287">
        <v>10</v>
      </c>
      <c r="O287">
        <f t="shared" si="269"/>
        <v>0</v>
      </c>
      <c r="P287">
        <f t="shared" si="270"/>
        <v>0</v>
      </c>
      <c r="Q287">
        <f t="shared" si="271"/>
        <v>0</v>
      </c>
      <c r="R287">
        <f t="shared" si="272"/>
        <v>0</v>
      </c>
      <c r="S287">
        <f t="shared" si="273"/>
        <v>0</v>
      </c>
      <c r="T287">
        <f t="shared" si="274"/>
        <v>0</v>
      </c>
      <c r="U287">
        <f t="shared" si="275"/>
        <v>0</v>
      </c>
      <c r="V287">
        <f t="shared" si="276"/>
        <v>0</v>
      </c>
      <c r="W287">
        <f t="shared" si="277"/>
        <v>0</v>
      </c>
      <c r="X287">
        <f t="shared" si="278"/>
        <v>0</v>
      </c>
      <c r="Y287">
        <f t="shared" si="279"/>
        <v>0</v>
      </c>
      <c r="AA287">
        <v>16808636</v>
      </c>
      <c r="AB287">
        <f t="shared" si="280"/>
        <v>0</v>
      </c>
      <c r="AC287">
        <f t="shared" si="281"/>
        <v>0</v>
      </c>
      <c r="AD287">
        <f>ROUND((((ET287)-(EU287))+AE287),2)</f>
        <v>0</v>
      </c>
      <c r="AE287">
        <f>ROUND((EU287),2)</f>
        <v>0</v>
      </c>
      <c r="AF287">
        <f>ROUND((EV287),2)</f>
        <v>0</v>
      </c>
      <c r="AG287">
        <f t="shared" si="282"/>
        <v>0</v>
      </c>
      <c r="AH287">
        <f>(EW287)</f>
        <v>0</v>
      </c>
      <c r="AI287">
        <f>(EX287)</f>
        <v>0</v>
      </c>
      <c r="AJ287">
        <f t="shared" si="283"/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115</v>
      </c>
      <c r="AU287">
        <v>71</v>
      </c>
      <c r="AV287">
        <v>1</v>
      </c>
      <c r="AW287">
        <v>1</v>
      </c>
      <c r="AZ287">
        <v>6.71</v>
      </c>
      <c r="BA287">
        <v>1</v>
      </c>
      <c r="BB287">
        <v>1</v>
      </c>
      <c r="BC287">
        <v>6.71</v>
      </c>
      <c r="BD287" t="s">
        <v>6</v>
      </c>
      <c r="BE287" t="s">
        <v>6</v>
      </c>
      <c r="BF287" t="s">
        <v>6</v>
      </c>
      <c r="BG287" t="s">
        <v>6</v>
      </c>
      <c r="BH287">
        <v>3</v>
      </c>
      <c r="BI287">
        <v>1</v>
      </c>
      <c r="BJ287" t="s">
        <v>6</v>
      </c>
      <c r="BM287">
        <v>17001</v>
      </c>
      <c r="BN287">
        <v>0</v>
      </c>
      <c r="BO287" t="s">
        <v>6</v>
      </c>
      <c r="BP287">
        <v>0</v>
      </c>
      <c r="BQ287">
        <v>2</v>
      </c>
      <c r="BR287">
        <v>0</v>
      </c>
      <c r="BS287">
        <v>1</v>
      </c>
      <c r="BT287">
        <v>1</v>
      </c>
      <c r="BU287">
        <v>1</v>
      </c>
      <c r="BV287">
        <v>1</v>
      </c>
      <c r="BW287">
        <v>1</v>
      </c>
      <c r="BX287">
        <v>1</v>
      </c>
      <c r="BY287" t="s">
        <v>6</v>
      </c>
      <c r="BZ287">
        <v>128</v>
      </c>
      <c r="CA287">
        <v>83</v>
      </c>
      <c r="CE287">
        <v>0</v>
      </c>
      <c r="CF287">
        <v>0</v>
      </c>
      <c r="CG287">
        <v>0</v>
      </c>
      <c r="CM287">
        <v>0</v>
      </c>
      <c r="CN287" t="s">
        <v>6</v>
      </c>
      <c r="CO287">
        <v>0</v>
      </c>
      <c r="CP287">
        <f t="shared" si="284"/>
        <v>0</v>
      </c>
      <c r="CQ287">
        <f t="shared" si="285"/>
        <v>0</v>
      </c>
      <c r="CR287">
        <f t="shared" si="286"/>
        <v>0</v>
      </c>
      <c r="CS287">
        <f t="shared" si="287"/>
        <v>0</v>
      </c>
      <c r="CT287">
        <f t="shared" si="288"/>
        <v>0</v>
      </c>
      <c r="CU287">
        <f t="shared" si="289"/>
        <v>0</v>
      </c>
      <c r="CV287">
        <f t="shared" si="290"/>
        <v>0</v>
      </c>
      <c r="CW287">
        <f t="shared" si="291"/>
        <v>0</v>
      </c>
      <c r="CX287">
        <f t="shared" si="292"/>
        <v>0</v>
      </c>
      <c r="CY287">
        <f t="shared" si="293"/>
        <v>0</v>
      </c>
      <c r="CZ287">
        <f t="shared" si="294"/>
        <v>0</v>
      </c>
      <c r="DC287" t="s">
        <v>6</v>
      </c>
      <c r="DD287" t="s">
        <v>6</v>
      </c>
      <c r="DE287" t="s">
        <v>6</v>
      </c>
      <c r="DF287" t="s">
        <v>6</v>
      </c>
      <c r="DG287" t="s">
        <v>6</v>
      </c>
      <c r="DH287" t="s">
        <v>6</v>
      </c>
      <c r="DI287" t="s">
        <v>6</v>
      </c>
      <c r="DJ287" t="s">
        <v>6</v>
      </c>
      <c r="DK287" t="s">
        <v>6</v>
      </c>
      <c r="DL287" t="s">
        <v>6</v>
      </c>
      <c r="DM287" t="s">
        <v>6</v>
      </c>
      <c r="DN287">
        <v>0</v>
      </c>
      <c r="DO287">
        <v>0</v>
      </c>
      <c r="DP287">
        <v>1</v>
      </c>
      <c r="DQ287">
        <v>1</v>
      </c>
      <c r="DU287">
        <v>1013</v>
      </c>
      <c r="DV287" t="s">
        <v>182</v>
      </c>
      <c r="DW287" t="s">
        <v>182</v>
      </c>
      <c r="DX287">
        <v>1</v>
      </c>
      <c r="EE287">
        <v>16510515</v>
      </c>
      <c r="EF287">
        <v>2</v>
      </c>
      <c r="EG287" t="s">
        <v>20</v>
      </c>
      <c r="EH287">
        <v>0</v>
      </c>
      <c r="EI287" t="s">
        <v>6</v>
      </c>
      <c r="EJ287">
        <v>1</v>
      </c>
      <c r="EK287">
        <v>17001</v>
      </c>
      <c r="EL287" t="s">
        <v>581</v>
      </c>
      <c r="EM287" t="s">
        <v>582</v>
      </c>
      <c r="EO287" t="s">
        <v>6</v>
      </c>
      <c r="EQ287">
        <v>0</v>
      </c>
      <c r="ER287">
        <v>0</v>
      </c>
      <c r="ES287">
        <v>0</v>
      </c>
      <c r="ET287">
        <v>0</v>
      </c>
      <c r="EU287">
        <v>0</v>
      </c>
      <c r="EV287">
        <v>0</v>
      </c>
      <c r="EW287">
        <v>0</v>
      </c>
      <c r="EX287">
        <v>0</v>
      </c>
      <c r="FQ287">
        <v>0</v>
      </c>
      <c r="FR287">
        <f t="shared" si="295"/>
        <v>0</v>
      </c>
      <c r="FS287">
        <v>0</v>
      </c>
      <c r="FT287" t="s">
        <v>23</v>
      </c>
      <c r="FU287" t="s">
        <v>24</v>
      </c>
      <c r="FX287">
        <v>115.2</v>
      </c>
      <c r="FY287">
        <v>70.55</v>
      </c>
      <c r="GA287" t="s">
        <v>6</v>
      </c>
      <c r="GD287">
        <v>0</v>
      </c>
      <c r="GF287">
        <v>195171381</v>
      </c>
      <c r="GG287">
        <v>1</v>
      </c>
      <c r="GH287">
        <v>1</v>
      </c>
      <c r="GI287">
        <v>4</v>
      </c>
      <c r="GJ287">
        <v>0</v>
      </c>
      <c r="GK287">
        <f>ROUND(R287*(R12)/100,2)</f>
        <v>0</v>
      </c>
      <c r="GL287">
        <f t="shared" si="296"/>
        <v>0</v>
      </c>
      <c r="GM287">
        <f t="shared" si="297"/>
        <v>0</v>
      </c>
      <c r="GN287">
        <f t="shared" si="298"/>
        <v>0</v>
      </c>
      <c r="GO287">
        <f t="shared" si="299"/>
        <v>0</v>
      </c>
      <c r="GP287">
        <f t="shared" si="300"/>
        <v>0</v>
      </c>
      <c r="GR287">
        <v>0</v>
      </c>
      <c r="GS287">
        <v>3</v>
      </c>
      <c r="GT287">
        <v>0</v>
      </c>
      <c r="GU287" t="s">
        <v>6</v>
      </c>
      <c r="GV287">
        <f t="shared" si="301"/>
        <v>0</v>
      </c>
      <c r="GW287">
        <v>1</v>
      </c>
      <c r="GX287">
        <f t="shared" si="302"/>
        <v>0</v>
      </c>
      <c r="HA287">
        <v>0</v>
      </c>
      <c r="HB287">
        <v>0</v>
      </c>
      <c r="HC287">
        <f t="shared" si="303"/>
        <v>0</v>
      </c>
      <c r="IK287">
        <v>0</v>
      </c>
    </row>
    <row r="288" spans="1:245" x14ac:dyDescent="0.2">
      <c r="A288">
        <v>17</v>
      </c>
      <c r="B288">
        <v>1</v>
      </c>
      <c r="C288">
        <f>ROW(SmtRes!A378)</f>
        <v>378</v>
      </c>
      <c r="D288">
        <f>ROW(EtalonRes!A351)</f>
        <v>351</v>
      </c>
      <c r="E288" t="s">
        <v>591</v>
      </c>
      <c r="F288" t="s">
        <v>592</v>
      </c>
      <c r="G288" t="s">
        <v>593</v>
      </c>
      <c r="H288" t="s">
        <v>594</v>
      </c>
      <c r="I288">
        <f>ROUND(3/10,9)</f>
        <v>0.3</v>
      </c>
      <c r="J288">
        <v>0</v>
      </c>
      <c r="O288">
        <f t="shared" si="269"/>
        <v>184.77</v>
      </c>
      <c r="P288">
        <f t="shared" si="270"/>
        <v>22.1</v>
      </c>
      <c r="Q288">
        <f t="shared" si="271"/>
        <v>0</v>
      </c>
      <c r="R288">
        <f t="shared" si="272"/>
        <v>0</v>
      </c>
      <c r="S288">
        <f t="shared" si="273"/>
        <v>162.66999999999999</v>
      </c>
      <c r="T288">
        <f t="shared" si="274"/>
        <v>0</v>
      </c>
      <c r="U288">
        <f t="shared" si="275"/>
        <v>2.52</v>
      </c>
      <c r="V288">
        <f t="shared" si="276"/>
        <v>0</v>
      </c>
      <c r="W288">
        <f t="shared" si="277"/>
        <v>0</v>
      </c>
      <c r="X288">
        <f t="shared" si="278"/>
        <v>187.07</v>
      </c>
      <c r="Y288">
        <f t="shared" si="279"/>
        <v>115.5</v>
      </c>
      <c r="AA288">
        <v>16808636</v>
      </c>
      <c r="AB288">
        <f t="shared" si="280"/>
        <v>91.79</v>
      </c>
      <c r="AC288">
        <f t="shared" si="281"/>
        <v>10.98</v>
      </c>
      <c r="AD288">
        <f>ROUND(((((ET288*1.2))-((EU288*1.2)))+AE288),2)</f>
        <v>0</v>
      </c>
      <c r="AE288">
        <f>ROUND(((EU288*1.2)),2)</f>
        <v>0</v>
      </c>
      <c r="AF288">
        <f>ROUND(((EV288*1.2)),2)</f>
        <v>80.81</v>
      </c>
      <c r="AG288">
        <f t="shared" si="282"/>
        <v>0</v>
      </c>
      <c r="AH288">
        <f>((EW288*1.2))</f>
        <v>8.4</v>
      </c>
      <c r="AI288">
        <f>((EX288*1.2))</f>
        <v>0</v>
      </c>
      <c r="AJ288">
        <f t="shared" si="283"/>
        <v>0</v>
      </c>
      <c r="AK288">
        <v>78.319999999999993</v>
      </c>
      <c r="AL288">
        <v>10.98</v>
      </c>
      <c r="AM288">
        <v>0</v>
      </c>
      <c r="AN288">
        <v>0</v>
      </c>
      <c r="AO288">
        <v>67.34</v>
      </c>
      <c r="AP288">
        <v>0</v>
      </c>
      <c r="AQ288">
        <v>7</v>
      </c>
      <c r="AR288">
        <v>0</v>
      </c>
      <c r="AS288">
        <v>0</v>
      </c>
      <c r="AT288">
        <v>115</v>
      </c>
      <c r="AU288">
        <v>71</v>
      </c>
      <c r="AV288">
        <v>1</v>
      </c>
      <c r="AW288">
        <v>1</v>
      </c>
      <c r="AZ288">
        <v>6.71</v>
      </c>
      <c r="BA288">
        <v>6.71</v>
      </c>
      <c r="BB288">
        <v>6.71</v>
      </c>
      <c r="BC288">
        <v>6.71</v>
      </c>
      <c r="BD288" t="s">
        <v>6</v>
      </c>
      <c r="BE288" t="s">
        <v>6</v>
      </c>
      <c r="BF288" t="s">
        <v>6</v>
      </c>
      <c r="BG288" t="s">
        <v>6</v>
      </c>
      <c r="BH288">
        <v>0</v>
      </c>
      <c r="BI288">
        <v>1</v>
      </c>
      <c r="BJ288" t="s">
        <v>595</v>
      </c>
      <c r="BM288">
        <v>17001</v>
      </c>
      <c r="BN288">
        <v>0</v>
      </c>
      <c r="BO288" t="s">
        <v>6</v>
      </c>
      <c r="BP288">
        <v>0</v>
      </c>
      <c r="BQ288">
        <v>2</v>
      </c>
      <c r="BR288">
        <v>0</v>
      </c>
      <c r="BS288">
        <v>6.71</v>
      </c>
      <c r="BT288">
        <v>1</v>
      </c>
      <c r="BU288">
        <v>1</v>
      </c>
      <c r="BV288">
        <v>1</v>
      </c>
      <c r="BW288">
        <v>1</v>
      </c>
      <c r="BX288">
        <v>1</v>
      </c>
      <c r="BY288" t="s">
        <v>6</v>
      </c>
      <c r="BZ288">
        <v>128</v>
      </c>
      <c r="CA288">
        <v>83</v>
      </c>
      <c r="CE288">
        <v>0</v>
      </c>
      <c r="CF288">
        <v>0</v>
      </c>
      <c r="CG288">
        <v>0</v>
      </c>
      <c r="CM288">
        <v>0</v>
      </c>
      <c r="CN288" t="s">
        <v>580</v>
      </c>
      <c r="CO288">
        <v>0</v>
      </c>
      <c r="CP288">
        <f t="shared" si="284"/>
        <v>184.76999999999998</v>
      </c>
      <c r="CQ288">
        <f t="shared" si="285"/>
        <v>73.67580000000001</v>
      </c>
      <c r="CR288">
        <f t="shared" si="286"/>
        <v>0</v>
      </c>
      <c r="CS288">
        <f t="shared" si="287"/>
        <v>0</v>
      </c>
      <c r="CT288">
        <f t="shared" si="288"/>
        <v>542.23509999999999</v>
      </c>
      <c r="CU288">
        <f t="shared" si="289"/>
        <v>0</v>
      </c>
      <c r="CV288">
        <f t="shared" si="290"/>
        <v>8.4</v>
      </c>
      <c r="CW288">
        <f t="shared" si="291"/>
        <v>0</v>
      </c>
      <c r="CX288">
        <f t="shared" si="292"/>
        <v>0</v>
      </c>
      <c r="CY288">
        <f t="shared" si="293"/>
        <v>187.07049999999998</v>
      </c>
      <c r="CZ288">
        <f t="shared" si="294"/>
        <v>115.4957</v>
      </c>
      <c r="DC288" t="s">
        <v>6</v>
      </c>
      <c r="DD288" t="s">
        <v>6</v>
      </c>
      <c r="DE288" t="s">
        <v>443</v>
      </c>
      <c r="DF288" t="s">
        <v>443</v>
      </c>
      <c r="DG288" t="s">
        <v>443</v>
      </c>
      <c r="DH288" t="s">
        <v>6</v>
      </c>
      <c r="DI288" t="s">
        <v>443</v>
      </c>
      <c r="DJ288" t="s">
        <v>443</v>
      </c>
      <c r="DK288" t="s">
        <v>6</v>
      </c>
      <c r="DL288" t="s">
        <v>6</v>
      </c>
      <c r="DM288" t="s">
        <v>6</v>
      </c>
      <c r="DN288">
        <v>0</v>
      </c>
      <c r="DO288">
        <v>0</v>
      </c>
      <c r="DP288">
        <v>1</v>
      </c>
      <c r="DQ288">
        <v>1</v>
      </c>
      <c r="DU288">
        <v>1013</v>
      </c>
      <c r="DV288" t="s">
        <v>594</v>
      </c>
      <c r="DW288" t="s">
        <v>594</v>
      </c>
      <c r="DX288">
        <v>1</v>
      </c>
      <c r="EE288">
        <v>16510515</v>
      </c>
      <c r="EF288">
        <v>2</v>
      </c>
      <c r="EG288" t="s">
        <v>20</v>
      </c>
      <c r="EH288">
        <v>0</v>
      </c>
      <c r="EI288" t="s">
        <v>6</v>
      </c>
      <c r="EJ288">
        <v>1</v>
      </c>
      <c r="EK288">
        <v>17001</v>
      </c>
      <c r="EL288" t="s">
        <v>581</v>
      </c>
      <c r="EM288" t="s">
        <v>582</v>
      </c>
      <c r="EO288" t="s">
        <v>583</v>
      </c>
      <c r="EQ288">
        <v>131072</v>
      </c>
      <c r="ER288">
        <v>78.319999999999993</v>
      </c>
      <c r="ES288">
        <v>10.98</v>
      </c>
      <c r="ET288">
        <v>0</v>
      </c>
      <c r="EU288">
        <v>0</v>
      </c>
      <c r="EV288">
        <v>67.34</v>
      </c>
      <c r="EW288">
        <v>7</v>
      </c>
      <c r="EX288">
        <v>0</v>
      </c>
      <c r="EY288">
        <v>0</v>
      </c>
      <c r="FQ288">
        <v>0</v>
      </c>
      <c r="FR288">
        <f t="shared" si="295"/>
        <v>0</v>
      </c>
      <c r="FS288">
        <v>0</v>
      </c>
      <c r="FT288" t="s">
        <v>23</v>
      </c>
      <c r="FU288" t="s">
        <v>24</v>
      </c>
      <c r="FX288">
        <v>115.2</v>
      </c>
      <c r="FY288">
        <v>70.55</v>
      </c>
      <c r="GA288" t="s">
        <v>6</v>
      </c>
      <c r="GD288">
        <v>0</v>
      </c>
      <c r="GF288">
        <v>725969486</v>
      </c>
      <c r="GG288">
        <v>1</v>
      </c>
      <c r="GH288">
        <v>1</v>
      </c>
      <c r="GI288">
        <v>4</v>
      </c>
      <c r="GJ288">
        <v>0</v>
      </c>
      <c r="GK288">
        <f>ROUND(R288*(R12)/100,2)</f>
        <v>0</v>
      </c>
      <c r="GL288">
        <f t="shared" si="296"/>
        <v>0</v>
      </c>
      <c r="GM288">
        <f t="shared" si="297"/>
        <v>487.34</v>
      </c>
      <c r="GN288">
        <f t="shared" si="298"/>
        <v>487.34</v>
      </c>
      <c r="GO288">
        <f t="shared" si="299"/>
        <v>0</v>
      </c>
      <c r="GP288">
        <f t="shared" si="300"/>
        <v>0</v>
      </c>
      <c r="GR288">
        <v>0</v>
      </c>
      <c r="GS288">
        <v>3</v>
      </c>
      <c r="GT288">
        <v>0</v>
      </c>
      <c r="GU288" t="s">
        <v>6</v>
      </c>
      <c r="GV288">
        <f t="shared" si="301"/>
        <v>0</v>
      </c>
      <c r="GW288">
        <v>1</v>
      </c>
      <c r="GX288">
        <f t="shared" si="302"/>
        <v>0</v>
      </c>
      <c r="HA288">
        <v>0</v>
      </c>
      <c r="HB288">
        <v>0</v>
      </c>
      <c r="HC288">
        <f t="shared" si="303"/>
        <v>0</v>
      </c>
      <c r="IK288">
        <v>0</v>
      </c>
    </row>
    <row r="289" spans="1:245" x14ac:dyDescent="0.2">
      <c r="A289">
        <v>18</v>
      </c>
      <c r="B289">
        <v>1</v>
      </c>
      <c r="C289">
        <v>378</v>
      </c>
      <c r="E289" t="s">
        <v>596</v>
      </c>
      <c r="F289" t="s">
        <v>597</v>
      </c>
      <c r="G289" t="s">
        <v>598</v>
      </c>
      <c r="H289" t="s">
        <v>182</v>
      </c>
      <c r="I289">
        <f>I288*J289</f>
        <v>3</v>
      </c>
      <c r="J289">
        <v>10</v>
      </c>
      <c r="O289">
        <f t="shared" si="269"/>
        <v>6245.33</v>
      </c>
      <c r="P289">
        <f t="shared" si="270"/>
        <v>6245.33</v>
      </c>
      <c r="Q289">
        <f t="shared" si="271"/>
        <v>0</v>
      </c>
      <c r="R289">
        <f t="shared" si="272"/>
        <v>0</v>
      </c>
      <c r="S289">
        <f t="shared" si="273"/>
        <v>0</v>
      </c>
      <c r="T289">
        <f t="shared" si="274"/>
        <v>0</v>
      </c>
      <c r="U289">
        <f t="shared" si="275"/>
        <v>0</v>
      </c>
      <c r="V289">
        <f t="shared" si="276"/>
        <v>0</v>
      </c>
      <c r="W289">
        <f t="shared" si="277"/>
        <v>0</v>
      </c>
      <c r="X289">
        <f t="shared" si="278"/>
        <v>0</v>
      </c>
      <c r="Y289">
        <f t="shared" si="279"/>
        <v>0</v>
      </c>
      <c r="AA289">
        <v>16808636</v>
      </c>
      <c r="AB289">
        <f t="shared" si="280"/>
        <v>310.25</v>
      </c>
      <c r="AC289">
        <f t="shared" si="281"/>
        <v>310.25</v>
      </c>
      <c r="AD289">
        <f>ROUND((((ET289)-(EU289))+AE289),2)</f>
        <v>0</v>
      </c>
      <c r="AE289">
        <f>ROUND((EU289),2)</f>
        <v>0</v>
      </c>
      <c r="AF289">
        <f>ROUND((EV289),2)</f>
        <v>0</v>
      </c>
      <c r="AG289">
        <f t="shared" si="282"/>
        <v>0</v>
      </c>
      <c r="AH289">
        <f>(EW289)</f>
        <v>0</v>
      </c>
      <c r="AI289">
        <f>(EX289)</f>
        <v>0</v>
      </c>
      <c r="AJ289">
        <f t="shared" si="283"/>
        <v>0</v>
      </c>
      <c r="AK289">
        <v>310.25</v>
      </c>
      <c r="AL289">
        <v>310.25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115</v>
      </c>
      <c r="AU289">
        <v>71</v>
      </c>
      <c r="AV289">
        <v>1</v>
      </c>
      <c r="AW289">
        <v>1</v>
      </c>
      <c r="AZ289">
        <v>6.71</v>
      </c>
      <c r="BA289">
        <v>1</v>
      </c>
      <c r="BB289">
        <v>1</v>
      </c>
      <c r="BC289">
        <v>6.71</v>
      </c>
      <c r="BD289" t="s">
        <v>6</v>
      </c>
      <c r="BE289" t="s">
        <v>6</v>
      </c>
      <c r="BF289" t="s">
        <v>6</v>
      </c>
      <c r="BG289" t="s">
        <v>6</v>
      </c>
      <c r="BH289">
        <v>3</v>
      </c>
      <c r="BI289">
        <v>1</v>
      </c>
      <c r="BJ289" t="s">
        <v>599</v>
      </c>
      <c r="BM289">
        <v>17001</v>
      </c>
      <c r="BN289">
        <v>0</v>
      </c>
      <c r="BO289" t="s">
        <v>6</v>
      </c>
      <c r="BP289">
        <v>0</v>
      </c>
      <c r="BQ289">
        <v>2</v>
      </c>
      <c r="BR289">
        <v>0</v>
      </c>
      <c r="BS289">
        <v>1</v>
      </c>
      <c r="BT289">
        <v>1</v>
      </c>
      <c r="BU289">
        <v>1</v>
      </c>
      <c r="BV289">
        <v>1</v>
      </c>
      <c r="BW289">
        <v>1</v>
      </c>
      <c r="BX289">
        <v>1</v>
      </c>
      <c r="BY289" t="s">
        <v>6</v>
      </c>
      <c r="BZ289">
        <v>128</v>
      </c>
      <c r="CA289">
        <v>83</v>
      </c>
      <c r="CE289">
        <v>0</v>
      </c>
      <c r="CF289">
        <v>0</v>
      </c>
      <c r="CG289">
        <v>0</v>
      </c>
      <c r="CM289">
        <v>0</v>
      </c>
      <c r="CN289" t="s">
        <v>6</v>
      </c>
      <c r="CO289">
        <v>0</v>
      </c>
      <c r="CP289">
        <f t="shared" si="284"/>
        <v>6245.33</v>
      </c>
      <c r="CQ289">
        <f t="shared" si="285"/>
        <v>2081.7775000000001</v>
      </c>
      <c r="CR289">
        <f t="shared" si="286"/>
        <v>0</v>
      </c>
      <c r="CS289">
        <f t="shared" si="287"/>
        <v>0</v>
      </c>
      <c r="CT289">
        <f t="shared" si="288"/>
        <v>0</v>
      </c>
      <c r="CU289">
        <f t="shared" si="289"/>
        <v>0</v>
      </c>
      <c r="CV289">
        <f t="shared" si="290"/>
        <v>0</v>
      </c>
      <c r="CW289">
        <f t="shared" si="291"/>
        <v>0</v>
      </c>
      <c r="CX289">
        <f t="shared" si="292"/>
        <v>0</v>
      </c>
      <c r="CY289">
        <f t="shared" si="293"/>
        <v>0</v>
      </c>
      <c r="CZ289">
        <f t="shared" si="294"/>
        <v>0</v>
      </c>
      <c r="DC289" t="s">
        <v>6</v>
      </c>
      <c r="DD289" t="s">
        <v>6</v>
      </c>
      <c r="DE289" t="s">
        <v>6</v>
      </c>
      <c r="DF289" t="s">
        <v>6</v>
      </c>
      <c r="DG289" t="s">
        <v>6</v>
      </c>
      <c r="DH289" t="s">
        <v>6</v>
      </c>
      <c r="DI289" t="s">
        <v>6</v>
      </c>
      <c r="DJ289" t="s">
        <v>6</v>
      </c>
      <c r="DK289" t="s">
        <v>6</v>
      </c>
      <c r="DL289" t="s">
        <v>6</v>
      </c>
      <c r="DM289" t="s">
        <v>6</v>
      </c>
      <c r="DN289">
        <v>0</v>
      </c>
      <c r="DO289">
        <v>0</v>
      </c>
      <c r="DP289">
        <v>1</v>
      </c>
      <c r="DQ289">
        <v>1</v>
      </c>
      <c r="DU289">
        <v>1013</v>
      </c>
      <c r="DV289" t="s">
        <v>182</v>
      </c>
      <c r="DW289" t="s">
        <v>182</v>
      </c>
      <c r="DX289">
        <v>1</v>
      </c>
      <c r="EE289">
        <v>16510515</v>
      </c>
      <c r="EF289">
        <v>2</v>
      </c>
      <c r="EG289" t="s">
        <v>20</v>
      </c>
      <c r="EH289">
        <v>0</v>
      </c>
      <c r="EI289" t="s">
        <v>6</v>
      </c>
      <c r="EJ289">
        <v>1</v>
      </c>
      <c r="EK289">
        <v>17001</v>
      </c>
      <c r="EL289" t="s">
        <v>581</v>
      </c>
      <c r="EM289" t="s">
        <v>582</v>
      </c>
      <c r="EO289" t="s">
        <v>6</v>
      </c>
      <c r="EQ289">
        <v>0</v>
      </c>
      <c r="ER289">
        <v>310.25</v>
      </c>
      <c r="ES289">
        <v>310.25</v>
      </c>
      <c r="ET289">
        <v>0</v>
      </c>
      <c r="EU289">
        <v>0</v>
      </c>
      <c r="EV289">
        <v>0</v>
      </c>
      <c r="EW289">
        <v>0</v>
      </c>
      <c r="EX289">
        <v>0</v>
      </c>
      <c r="FQ289">
        <v>0</v>
      </c>
      <c r="FR289">
        <f t="shared" si="295"/>
        <v>0</v>
      </c>
      <c r="FS289">
        <v>0</v>
      </c>
      <c r="FT289" t="s">
        <v>23</v>
      </c>
      <c r="FU289" t="s">
        <v>24</v>
      </c>
      <c r="FX289">
        <v>115.2</v>
      </c>
      <c r="FY289">
        <v>70.55</v>
      </c>
      <c r="GA289" t="s">
        <v>6</v>
      </c>
      <c r="GD289">
        <v>0</v>
      </c>
      <c r="GF289">
        <v>1551874932</v>
      </c>
      <c r="GG289">
        <v>1</v>
      </c>
      <c r="GH289">
        <v>1</v>
      </c>
      <c r="GI289">
        <v>4</v>
      </c>
      <c r="GJ289">
        <v>0</v>
      </c>
      <c r="GK289">
        <f>ROUND(R289*(R12)/100,2)</f>
        <v>0</v>
      </c>
      <c r="GL289">
        <f t="shared" si="296"/>
        <v>0</v>
      </c>
      <c r="GM289">
        <f t="shared" si="297"/>
        <v>6245.33</v>
      </c>
      <c r="GN289">
        <f t="shared" si="298"/>
        <v>6245.33</v>
      </c>
      <c r="GO289">
        <f t="shared" si="299"/>
        <v>0</v>
      </c>
      <c r="GP289">
        <f t="shared" si="300"/>
        <v>0</v>
      </c>
      <c r="GR289">
        <v>0</v>
      </c>
      <c r="GS289">
        <v>3</v>
      </c>
      <c r="GT289">
        <v>0</v>
      </c>
      <c r="GU289" t="s">
        <v>6</v>
      </c>
      <c r="GV289">
        <f t="shared" si="301"/>
        <v>0</v>
      </c>
      <c r="GW289">
        <v>1</v>
      </c>
      <c r="GX289">
        <f t="shared" si="302"/>
        <v>0</v>
      </c>
      <c r="HA289">
        <v>0</v>
      </c>
      <c r="HB289">
        <v>0</v>
      </c>
      <c r="HC289">
        <f t="shared" si="303"/>
        <v>0</v>
      </c>
      <c r="IK289">
        <v>0</v>
      </c>
    </row>
    <row r="290" spans="1:245" x14ac:dyDescent="0.2">
      <c r="A290">
        <v>18</v>
      </c>
      <c r="B290">
        <v>1</v>
      </c>
      <c r="C290">
        <v>377</v>
      </c>
      <c r="E290" t="s">
        <v>600</v>
      </c>
      <c r="F290" t="s">
        <v>601</v>
      </c>
      <c r="G290" t="s">
        <v>602</v>
      </c>
      <c r="H290" t="s">
        <v>350</v>
      </c>
      <c r="I290">
        <f>I288*J290</f>
        <v>3</v>
      </c>
      <c r="J290">
        <v>10</v>
      </c>
      <c r="O290">
        <f t="shared" si="269"/>
        <v>0</v>
      </c>
      <c r="P290">
        <f t="shared" si="270"/>
        <v>0</v>
      </c>
      <c r="Q290">
        <f t="shared" si="271"/>
        <v>0</v>
      </c>
      <c r="R290">
        <f t="shared" si="272"/>
        <v>0</v>
      </c>
      <c r="S290">
        <f t="shared" si="273"/>
        <v>0</v>
      </c>
      <c r="T290">
        <f t="shared" si="274"/>
        <v>0</v>
      </c>
      <c r="U290">
        <f t="shared" si="275"/>
        <v>0</v>
      </c>
      <c r="V290">
        <f t="shared" si="276"/>
        <v>0</v>
      </c>
      <c r="W290">
        <f t="shared" si="277"/>
        <v>0</v>
      </c>
      <c r="X290">
        <f t="shared" si="278"/>
        <v>0</v>
      </c>
      <c r="Y290">
        <f t="shared" si="279"/>
        <v>0</v>
      </c>
      <c r="AA290">
        <v>16808636</v>
      </c>
      <c r="AB290">
        <f t="shared" si="280"/>
        <v>0</v>
      </c>
      <c r="AC290">
        <f t="shared" si="281"/>
        <v>0</v>
      </c>
      <c r="AD290">
        <f>ROUND((((ET290)-(EU290))+AE290),2)</f>
        <v>0</v>
      </c>
      <c r="AE290">
        <f>ROUND((EU290),2)</f>
        <v>0</v>
      </c>
      <c r="AF290">
        <f>ROUND((EV290),2)</f>
        <v>0</v>
      </c>
      <c r="AG290">
        <f t="shared" si="282"/>
        <v>0</v>
      </c>
      <c r="AH290">
        <f>(EW290)</f>
        <v>0</v>
      </c>
      <c r="AI290">
        <f>(EX290)</f>
        <v>0</v>
      </c>
      <c r="AJ290">
        <f t="shared" si="283"/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115</v>
      </c>
      <c r="AU290">
        <v>71</v>
      </c>
      <c r="AV290">
        <v>1</v>
      </c>
      <c r="AW290">
        <v>1</v>
      </c>
      <c r="AZ290">
        <v>6.71</v>
      </c>
      <c r="BA290">
        <v>1</v>
      </c>
      <c r="BB290">
        <v>1</v>
      </c>
      <c r="BC290">
        <v>6.71</v>
      </c>
      <c r="BD290" t="s">
        <v>6</v>
      </c>
      <c r="BE290" t="s">
        <v>6</v>
      </c>
      <c r="BF290" t="s">
        <v>6</v>
      </c>
      <c r="BG290" t="s">
        <v>6</v>
      </c>
      <c r="BH290">
        <v>3</v>
      </c>
      <c r="BI290">
        <v>1</v>
      </c>
      <c r="BJ290" t="s">
        <v>6</v>
      </c>
      <c r="BM290">
        <v>17001</v>
      </c>
      <c r="BN290">
        <v>0</v>
      </c>
      <c r="BO290" t="s">
        <v>6</v>
      </c>
      <c r="BP290">
        <v>0</v>
      </c>
      <c r="BQ290">
        <v>2</v>
      </c>
      <c r="BR290">
        <v>0</v>
      </c>
      <c r="BS290">
        <v>1</v>
      </c>
      <c r="BT290">
        <v>1</v>
      </c>
      <c r="BU290">
        <v>1</v>
      </c>
      <c r="BV290">
        <v>1</v>
      </c>
      <c r="BW290">
        <v>1</v>
      </c>
      <c r="BX290">
        <v>1</v>
      </c>
      <c r="BY290" t="s">
        <v>6</v>
      </c>
      <c r="BZ290">
        <v>128</v>
      </c>
      <c r="CA290">
        <v>83</v>
      </c>
      <c r="CE290">
        <v>0</v>
      </c>
      <c r="CF290">
        <v>0</v>
      </c>
      <c r="CG290">
        <v>0</v>
      </c>
      <c r="CM290">
        <v>0</v>
      </c>
      <c r="CN290" t="s">
        <v>6</v>
      </c>
      <c r="CO290">
        <v>0</v>
      </c>
      <c r="CP290">
        <f t="shared" si="284"/>
        <v>0</v>
      </c>
      <c r="CQ290">
        <f t="shared" si="285"/>
        <v>0</v>
      </c>
      <c r="CR290">
        <f t="shared" si="286"/>
        <v>0</v>
      </c>
      <c r="CS290">
        <f t="shared" si="287"/>
        <v>0</v>
      </c>
      <c r="CT290">
        <f t="shared" si="288"/>
        <v>0</v>
      </c>
      <c r="CU290">
        <f t="shared" si="289"/>
        <v>0</v>
      </c>
      <c r="CV290">
        <f t="shared" si="290"/>
        <v>0</v>
      </c>
      <c r="CW290">
        <f t="shared" si="291"/>
        <v>0</v>
      </c>
      <c r="CX290">
        <f t="shared" si="292"/>
        <v>0</v>
      </c>
      <c r="CY290">
        <f t="shared" si="293"/>
        <v>0</v>
      </c>
      <c r="CZ290">
        <f t="shared" si="294"/>
        <v>0</v>
      </c>
      <c r="DC290" t="s">
        <v>6</v>
      </c>
      <c r="DD290" t="s">
        <v>6</v>
      </c>
      <c r="DE290" t="s">
        <v>6</v>
      </c>
      <c r="DF290" t="s">
        <v>6</v>
      </c>
      <c r="DG290" t="s">
        <v>6</v>
      </c>
      <c r="DH290" t="s">
        <v>6</v>
      </c>
      <c r="DI290" t="s">
        <v>6</v>
      </c>
      <c r="DJ290" t="s">
        <v>6</v>
      </c>
      <c r="DK290" t="s">
        <v>6</v>
      </c>
      <c r="DL290" t="s">
        <v>6</v>
      </c>
      <c r="DM290" t="s">
        <v>6</v>
      </c>
      <c r="DN290">
        <v>0</v>
      </c>
      <c r="DO290">
        <v>0</v>
      </c>
      <c r="DP290">
        <v>1</v>
      </c>
      <c r="DQ290">
        <v>1</v>
      </c>
      <c r="DU290">
        <v>1010</v>
      </c>
      <c r="DV290" t="s">
        <v>350</v>
      </c>
      <c r="DW290" t="s">
        <v>350</v>
      </c>
      <c r="DX290">
        <v>1</v>
      </c>
      <c r="EE290">
        <v>16510515</v>
      </c>
      <c r="EF290">
        <v>2</v>
      </c>
      <c r="EG290" t="s">
        <v>20</v>
      </c>
      <c r="EH290">
        <v>0</v>
      </c>
      <c r="EI290" t="s">
        <v>6</v>
      </c>
      <c r="EJ290">
        <v>1</v>
      </c>
      <c r="EK290">
        <v>17001</v>
      </c>
      <c r="EL290" t="s">
        <v>581</v>
      </c>
      <c r="EM290" t="s">
        <v>582</v>
      </c>
      <c r="EO290" t="s">
        <v>6</v>
      </c>
      <c r="EQ290">
        <v>0</v>
      </c>
      <c r="ER290">
        <v>0</v>
      </c>
      <c r="ES290">
        <v>0</v>
      </c>
      <c r="ET290">
        <v>0</v>
      </c>
      <c r="EU290">
        <v>0</v>
      </c>
      <c r="EV290">
        <v>0</v>
      </c>
      <c r="EW290">
        <v>0</v>
      </c>
      <c r="EX290">
        <v>0</v>
      </c>
      <c r="FQ290">
        <v>0</v>
      </c>
      <c r="FR290">
        <f t="shared" si="295"/>
        <v>0</v>
      </c>
      <c r="FS290">
        <v>0</v>
      </c>
      <c r="FT290" t="s">
        <v>23</v>
      </c>
      <c r="FU290" t="s">
        <v>24</v>
      </c>
      <c r="FX290">
        <v>115.2</v>
      </c>
      <c r="FY290">
        <v>70.55</v>
      </c>
      <c r="GA290" t="s">
        <v>6</v>
      </c>
      <c r="GD290">
        <v>0</v>
      </c>
      <c r="GF290">
        <v>-1335221296</v>
      </c>
      <c r="GG290">
        <v>1</v>
      </c>
      <c r="GH290">
        <v>1</v>
      </c>
      <c r="GI290">
        <v>4</v>
      </c>
      <c r="GJ290">
        <v>0</v>
      </c>
      <c r="GK290">
        <f>ROUND(R290*(R12)/100,2)</f>
        <v>0</v>
      </c>
      <c r="GL290">
        <f t="shared" si="296"/>
        <v>0</v>
      </c>
      <c r="GM290">
        <f t="shared" si="297"/>
        <v>0</v>
      </c>
      <c r="GN290">
        <f t="shared" si="298"/>
        <v>0</v>
      </c>
      <c r="GO290">
        <f t="shared" si="299"/>
        <v>0</v>
      </c>
      <c r="GP290">
        <f t="shared" si="300"/>
        <v>0</v>
      </c>
      <c r="GR290">
        <v>0</v>
      </c>
      <c r="GS290">
        <v>3</v>
      </c>
      <c r="GT290">
        <v>0</v>
      </c>
      <c r="GU290" t="s">
        <v>6</v>
      </c>
      <c r="GV290">
        <f t="shared" si="301"/>
        <v>0</v>
      </c>
      <c r="GW290">
        <v>1</v>
      </c>
      <c r="GX290">
        <f t="shared" si="302"/>
        <v>0</v>
      </c>
      <c r="HA290">
        <v>0</v>
      </c>
      <c r="HB290">
        <v>0</v>
      </c>
      <c r="HC290">
        <f t="shared" si="303"/>
        <v>0</v>
      </c>
      <c r="IK290">
        <v>0</v>
      </c>
    </row>
    <row r="291" spans="1:245" x14ac:dyDescent="0.2">
      <c r="A291">
        <v>17</v>
      </c>
      <c r="B291">
        <v>1</v>
      </c>
      <c r="C291">
        <f>ROW(SmtRes!A391)</f>
        <v>391</v>
      </c>
      <c r="D291">
        <f>ROW(EtalonRes!A365)</f>
        <v>365</v>
      </c>
      <c r="E291" t="s">
        <v>603</v>
      </c>
      <c r="F291" t="s">
        <v>604</v>
      </c>
      <c r="G291" t="s">
        <v>605</v>
      </c>
      <c r="H291" t="s">
        <v>40</v>
      </c>
      <c r="I291">
        <f>ROUND(12/100,9)</f>
        <v>0.12</v>
      </c>
      <c r="J291">
        <v>0</v>
      </c>
      <c r="O291">
        <f t="shared" si="269"/>
        <v>1373.89</v>
      </c>
      <c r="P291">
        <f t="shared" si="270"/>
        <v>30.57</v>
      </c>
      <c r="Q291">
        <f t="shared" si="271"/>
        <v>452.45</v>
      </c>
      <c r="R291">
        <f t="shared" si="272"/>
        <v>0.09</v>
      </c>
      <c r="S291">
        <f t="shared" si="273"/>
        <v>890.87</v>
      </c>
      <c r="T291">
        <f t="shared" si="274"/>
        <v>0</v>
      </c>
      <c r="U291">
        <f t="shared" si="275"/>
        <v>13.960800000000001</v>
      </c>
      <c r="V291">
        <f t="shared" si="276"/>
        <v>1.4399999999999999E-3</v>
      </c>
      <c r="W291">
        <f t="shared" si="277"/>
        <v>0</v>
      </c>
      <c r="X291">
        <f t="shared" si="278"/>
        <v>1024.5999999999999</v>
      </c>
      <c r="Y291">
        <f t="shared" si="279"/>
        <v>632.58000000000004</v>
      </c>
      <c r="AA291">
        <v>16808636</v>
      </c>
      <c r="AB291">
        <f t="shared" si="280"/>
        <v>1706.26</v>
      </c>
      <c r="AC291">
        <f t="shared" si="281"/>
        <v>37.96</v>
      </c>
      <c r="AD291">
        <f>ROUND(((((ET291*1.2))-((EU291*1.2)))+AE291),2)</f>
        <v>561.91</v>
      </c>
      <c r="AE291">
        <f>ROUND(((EU291*1.2)),2)</f>
        <v>0.11</v>
      </c>
      <c r="AF291">
        <f>ROUND(((EV291*1.2)),2)</f>
        <v>1106.3900000000001</v>
      </c>
      <c r="AG291">
        <f t="shared" si="282"/>
        <v>0</v>
      </c>
      <c r="AH291">
        <f>((EW291*1.2))</f>
        <v>116.34</v>
      </c>
      <c r="AI291">
        <f>((EX291*1.2))</f>
        <v>1.2E-2</v>
      </c>
      <c r="AJ291">
        <f t="shared" si="283"/>
        <v>0</v>
      </c>
      <c r="AK291">
        <v>1428.21</v>
      </c>
      <c r="AL291">
        <v>37.96</v>
      </c>
      <c r="AM291">
        <v>468.26</v>
      </c>
      <c r="AN291">
        <v>0.09</v>
      </c>
      <c r="AO291">
        <v>921.99</v>
      </c>
      <c r="AP291">
        <v>0</v>
      </c>
      <c r="AQ291">
        <v>96.95</v>
      </c>
      <c r="AR291">
        <v>0.01</v>
      </c>
      <c r="AS291">
        <v>0</v>
      </c>
      <c r="AT291">
        <v>115</v>
      </c>
      <c r="AU291">
        <v>71</v>
      </c>
      <c r="AV291">
        <v>1</v>
      </c>
      <c r="AW291">
        <v>1</v>
      </c>
      <c r="AZ291">
        <v>6.71</v>
      </c>
      <c r="BA291">
        <v>6.71</v>
      </c>
      <c r="BB291">
        <v>6.71</v>
      </c>
      <c r="BC291">
        <v>6.71</v>
      </c>
      <c r="BD291" t="s">
        <v>6</v>
      </c>
      <c r="BE291" t="s">
        <v>6</v>
      </c>
      <c r="BF291" t="s">
        <v>6</v>
      </c>
      <c r="BG291" t="s">
        <v>6</v>
      </c>
      <c r="BH291">
        <v>0</v>
      </c>
      <c r="BI291">
        <v>1</v>
      </c>
      <c r="BJ291" t="s">
        <v>606</v>
      </c>
      <c r="BM291">
        <v>16001</v>
      </c>
      <c r="BN291">
        <v>0</v>
      </c>
      <c r="BO291" t="s">
        <v>6</v>
      </c>
      <c r="BP291">
        <v>0</v>
      </c>
      <c r="BQ291">
        <v>2</v>
      </c>
      <c r="BR291">
        <v>0</v>
      </c>
      <c r="BS291">
        <v>6.71</v>
      </c>
      <c r="BT291">
        <v>1</v>
      </c>
      <c r="BU291">
        <v>1</v>
      </c>
      <c r="BV291">
        <v>1</v>
      </c>
      <c r="BW291">
        <v>1</v>
      </c>
      <c r="BX291">
        <v>1</v>
      </c>
      <c r="BY291" t="s">
        <v>6</v>
      </c>
      <c r="BZ291">
        <v>128</v>
      </c>
      <c r="CA291">
        <v>83</v>
      </c>
      <c r="CE291">
        <v>0</v>
      </c>
      <c r="CF291">
        <v>0</v>
      </c>
      <c r="CG291">
        <v>0</v>
      </c>
      <c r="CM291">
        <v>0</v>
      </c>
      <c r="CN291" t="s">
        <v>580</v>
      </c>
      <c r="CO291">
        <v>0</v>
      </c>
      <c r="CP291">
        <f t="shared" si="284"/>
        <v>1373.8899999999999</v>
      </c>
      <c r="CQ291">
        <f t="shared" si="285"/>
        <v>254.7116</v>
      </c>
      <c r="CR291">
        <f t="shared" si="286"/>
        <v>3770.4160999999999</v>
      </c>
      <c r="CS291">
        <f t="shared" si="287"/>
        <v>0.73809999999999998</v>
      </c>
      <c r="CT291">
        <f t="shared" si="288"/>
        <v>7423.8769000000002</v>
      </c>
      <c r="CU291">
        <f t="shared" si="289"/>
        <v>0</v>
      </c>
      <c r="CV291">
        <f t="shared" si="290"/>
        <v>116.34</v>
      </c>
      <c r="CW291">
        <f t="shared" si="291"/>
        <v>1.2E-2</v>
      </c>
      <c r="CX291">
        <f t="shared" si="292"/>
        <v>0</v>
      </c>
      <c r="CY291">
        <f t="shared" si="293"/>
        <v>1024.604</v>
      </c>
      <c r="CZ291">
        <f t="shared" si="294"/>
        <v>632.58159999999998</v>
      </c>
      <c r="DC291" t="s">
        <v>6</v>
      </c>
      <c r="DD291" t="s">
        <v>6</v>
      </c>
      <c r="DE291" t="s">
        <v>443</v>
      </c>
      <c r="DF291" t="s">
        <v>443</v>
      </c>
      <c r="DG291" t="s">
        <v>443</v>
      </c>
      <c r="DH291" t="s">
        <v>6</v>
      </c>
      <c r="DI291" t="s">
        <v>443</v>
      </c>
      <c r="DJ291" t="s">
        <v>443</v>
      </c>
      <c r="DK291" t="s">
        <v>6</v>
      </c>
      <c r="DL291" t="s">
        <v>6</v>
      </c>
      <c r="DM291" t="s">
        <v>6</v>
      </c>
      <c r="DN291">
        <v>0</v>
      </c>
      <c r="DO291">
        <v>0</v>
      </c>
      <c r="DP291">
        <v>1</v>
      </c>
      <c r="DQ291">
        <v>1</v>
      </c>
      <c r="DU291">
        <v>1003</v>
      </c>
      <c r="DV291" t="s">
        <v>40</v>
      </c>
      <c r="DW291" t="s">
        <v>40</v>
      </c>
      <c r="DX291">
        <v>100</v>
      </c>
      <c r="EE291">
        <v>16510514</v>
      </c>
      <c r="EF291">
        <v>2</v>
      </c>
      <c r="EG291" t="s">
        <v>20</v>
      </c>
      <c r="EH291">
        <v>0</v>
      </c>
      <c r="EI291" t="s">
        <v>6</v>
      </c>
      <c r="EJ291">
        <v>1</v>
      </c>
      <c r="EK291">
        <v>16001</v>
      </c>
      <c r="EL291" t="s">
        <v>607</v>
      </c>
      <c r="EM291" t="s">
        <v>608</v>
      </c>
      <c r="EO291" t="s">
        <v>583</v>
      </c>
      <c r="EQ291">
        <v>131072</v>
      </c>
      <c r="ER291">
        <v>1428.21</v>
      </c>
      <c r="ES291">
        <v>37.96</v>
      </c>
      <c r="ET291">
        <v>468.26</v>
      </c>
      <c r="EU291">
        <v>0.09</v>
      </c>
      <c r="EV291">
        <v>921.99</v>
      </c>
      <c r="EW291">
        <v>96.95</v>
      </c>
      <c r="EX291">
        <v>0.01</v>
      </c>
      <c r="EY291">
        <v>0</v>
      </c>
      <c r="FQ291">
        <v>0</v>
      </c>
      <c r="FR291">
        <f t="shared" si="295"/>
        <v>0</v>
      </c>
      <c r="FS291">
        <v>0</v>
      </c>
      <c r="FT291" t="s">
        <v>23</v>
      </c>
      <c r="FU291" t="s">
        <v>24</v>
      </c>
      <c r="FX291">
        <v>115.2</v>
      </c>
      <c r="FY291">
        <v>70.55</v>
      </c>
      <c r="GA291" t="s">
        <v>6</v>
      </c>
      <c r="GD291">
        <v>0</v>
      </c>
      <c r="GF291">
        <v>-1789322816</v>
      </c>
      <c r="GG291">
        <v>1</v>
      </c>
      <c r="GH291">
        <v>1</v>
      </c>
      <c r="GI291">
        <v>4</v>
      </c>
      <c r="GJ291">
        <v>0</v>
      </c>
      <c r="GK291">
        <f>ROUND(R291*(R12)/100,2)</f>
        <v>0</v>
      </c>
      <c r="GL291">
        <f t="shared" si="296"/>
        <v>0</v>
      </c>
      <c r="GM291">
        <f t="shared" si="297"/>
        <v>3031.07</v>
      </c>
      <c r="GN291">
        <f t="shared" si="298"/>
        <v>3031.07</v>
      </c>
      <c r="GO291">
        <f t="shared" si="299"/>
        <v>0</v>
      </c>
      <c r="GP291">
        <f t="shared" si="300"/>
        <v>0</v>
      </c>
      <c r="GR291">
        <v>0</v>
      </c>
      <c r="GS291">
        <v>3</v>
      </c>
      <c r="GT291">
        <v>0</v>
      </c>
      <c r="GU291" t="s">
        <v>6</v>
      </c>
      <c r="GV291">
        <f t="shared" si="301"/>
        <v>0</v>
      </c>
      <c r="GW291">
        <v>1</v>
      </c>
      <c r="GX291">
        <f t="shared" si="302"/>
        <v>0</v>
      </c>
      <c r="HA291">
        <v>0</v>
      </c>
      <c r="HB291">
        <v>0</v>
      </c>
      <c r="HC291">
        <f t="shared" si="303"/>
        <v>0</v>
      </c>
      <c r="IK291">
        <v>0</v>
      </c>
    </row>
    <row r="292" spans="1:245" x14ac:dyDescent="0.2">
      <c r="A292">
        <v>18</v>
      </c>
      <c r="B292">
        <v>1</v>
      </c>
      <c r="C292">
        <v>390</v>
      </c>
      <c r="E292" t="s">
        <v>609</v>
      </c>
      <c r="F292" t="s">
        <v>610</v>
      </c>
      <c r="G292" t="s">
        <v>611</v>
      </c>
      <c r="H292" t="s">
        <v>512</v>
      </c>
      <c r="I292">
        <f>I291*J292</f>
        <v>1.7</v>
      </c>
      <c r="J292">
        <v>14.166666666666666</v>
      </c>
      <c r="O292">
        <f t="shared" si="269"/>
        <v>1048.3</v>
      </c>
      <c r="P292">
        <f t="shared" si="270"/>
        <v>1048.3</v>
      </c>
      <c r="Q292">
        <f t="shared" si="271"/>
        <v>0</v>
      </c>
      <c r="R292">
        <f t="shared" si="272"/>
        <v>0</v>
      </c>
      <c r="S292">
        <f t="shared" si="273"/>
        <v>0</v>
      </c>
      <c r="T292">
        <f t="shared" si="274"/>
        <v>0</v>
      </c>
      <c r="U292">
        <f t="shared" si="275"/>
        <v>0</v>
      </c>
      <c r="V292">
        <f t="shared" si="276"/>
        <v>0</v>
      </c>
      <c r="W292">
        <f t="shared" si="277"/>
        <v>0</v>
      </c>
      <c r="X292">
        <f t="shared" si="278"/>
        <v>0</v>
      </c>
      <c r="Y292">
        <f t="shared" si="279"/>
        <v>0</v>
      </c>
      <c r="AA292">
        <v>16808636</v>
      </c>
      <c r="AB292">
        <f t="shared" si="280"/>
        <v>91.9</v>
      </c>
      <c r="AC292">
        <f t="shared" si="281"/>
        <v>91.9</v>
      </c>
      <c r="AD292">
        <f>ROUND((((ET292)-(EU292))+AE292),2)</f>
        <v>0</v>
      </c>
      <c r="AE292">
        <f t="shared" ref="AE292:AF294" si="304">ROUND((EU292),2)</f>
        <v>0</v>
      </c>
      <c r="AF292">
        <f t="shared" si="304"/>
        <v>0</v>
      </c>
      <c r="AG292">
        <f t="shared" si="282"/>
        <v>0</v>
      </c>
      <c r="AH292">
        <f t="shared" ref="AH292:AI294" si="305">(EW292)</f>
        <v>0</v>
      </c>
      <c r="AI292">
        <f t="shared" si="305"/>
        <v>0</v>
      </c>
      <c r="AJ292">
        <f t="shared" si="283"/>
        <v>0</v>
      </c>
      <c r="AK292">
        <v>91.9</v>
      </c>
      <c r="AL292">
        <v>91.9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115</v>
      </c>
      <c r="AU292">
        <v>71</v>
      </c>
      <c r="AV292">
        <v>1</v>
      </c>
      <c r="AW292">
        <v>1</v>
      </c>
      <c r="AZ292">
        <v>6.71</v>
      </c>
      <c r="BA292">
        <v>1</v>
      </c>
      <c r="BB292">
        <v>1</v>
      </c>
      <c r="BC292">
        <v>6.71</v>
      </c>
      <c r="BD292" t="s">
        <v>6</v>
      </c>
      <c r="BE292" t="s">
        <v>6</v>
      </c>
      <c r="BF292" t="s">
        <v>6</v>
      </c>
      <c r="BG292" t="s">
        <v>6</v>
      </c>
      <c r="BH292">
        <v>3</v>
      </c>
      <c r="BI292">
        <v>1</v>
      </c>
      <c r="BJ292" t="s">
        <v>612</v>
      </c>
      <c r="BM292">
        <v>16001</v>
      </c>
      <c r="BN292">
        <v>0</v>
      </c>
      <c r="BO292" t="s">
        <v>6</v>
      </c>
      <c r="BP292">
        <v>0</v>
      </c>
      <c r="BQ292">
        <v>2</v>
      </c>
      <c r="BR292">
        <v>0</v>
      </c>
      <c r="BS292">
        <v>1</v>
      </c>
      <c r="BT292">
        <v>1</v>
      </c>
      <c r="BU292">
        <v>1</v>
      </c>
      <c r="BV292">
        <v>1</v>
      </c>
      <c r="BW292">
        <v>1</v>
      </c>
      <c r="BX292">
        <v>1</v>
      </c>
      <c r="BY292" t="s">
        <v>6</v>
      </c>
      <c r="BZ292">
        <v>128</v>
      </c>
      <c r="CA292">
        <v>83</v>
      </c>
      <c r="CE292">
        <v>0</v>
      </c>
      <c r="CF292">
        <v>0</v>
      </c>
      <c r="CG292">
        <v>0</v>
      </c>
      <c r="CM292">
        <v>0</v>
      </c>
      <c r="CN292" t="s">
        <v>6</v>
      </c>
      <c r="CO292">
        <v>0</v>
      </c>
      <c r="CP292">
        <f t="shared" si="284"/>
        <v>1048.3</v>
      </c>
      <c r="CQ292">
        <f t="shared" si="285"/>
        <v>616.649</v>
      </c>
      <c r="CR292">
        <f t="shared" si="286"/>
        <v>0</v>
      </c>
      <c r="CS292">
        <f t="shared" si="287"/>
        <v>0</v>
      </c>
      <c r="CT292">
        <f t="shared" si="288"/>
        <v>0</v>
      </c>
      <c r="CU292">
        <f t="shared" si="289"/>
        <v>0</v>
      </c>
      <c r="CV292">
        <f t="shared" si="290"/>
        <v>0</v>
      </c>
      <c r="CW292">
        <f t="shared" si="291"/>
        <v>0</v>
      </c>
      <c r="CX292">
        <f t="shared" si="292"/>
        <v>0</v>
      </c>
      <c r="CY292">
        <f t="shared" si="293"/>
        <v>0</v>
      </c>
      <c r="CZ292">
        <f t="shared" si="294"/>
        <v>0</v>
      </c>
      <c r="DC292" t="s">
        <v>6</v>
      </c>
      <c r="DD292" t="s">
        <v>6</v>
      </c>
      <c r="DE292" t="s">
        <v>6</v>
      </c>
      <c r="DF292" t="s">
        <v>6</v>
      </c>
      <c r="DG292" t="s">
        <v>6</v>
      </c>
      <c r="DH292" t="s">
        <v>6</v>
      </c>
      <c r="DI292" t="s">
        <v>6</v>
      </c>
      <c r="DJ292" t="s">
        <v>6</v>
      </c>
      <c r="DK292" t="s">
        <v>6</v>
      </c>
      <c r="DL292" t="s">
        <v>6</v>
      </c>
      <c r="DM292" t="s">
        <v>6</v>
      </c>
      <c r="DN292">
        <v>0</v>
      </c>
      <c r="DO292">
        <v>0</v>
      </c>
      <c r="DP292">
        <v>1</v>
      </c>
      <c r="DQ292">
        <v>1</v>
      </c>
      <c r="DU292">
        <v>1010</v>
      </c>
      <c r="DV292" t="s">
        <v>512</v>
      </c>
      <c r="DW292" t="s">
        <v>512</v>
      </c>
      <c r="DX292">
        <v>10</v>
      </c>
      <c r="EE292">
        <v>16510514</v>
      </c>
      <c r="EF292">
        <v>2</v>
      </c>
      <c r="EG292" t="s">
        <v>20</v>
      </c>
      <c r="EH292">
        <v>0</v>
      </c>
      <c r="EI292" t="s">
        <v>6</v>
      </c>
      <c r="EJ292">
        <v>1</v>
      </c>
      <c r="EK292">
        <v>16001</v>
      </c>
      <c r="EL292" t="s">
        <v>607</v>
      </c>
      <c r="EM292" t="s">
        <v>608</v>
      </c>
      <c r="EO292" t="s">
        <v>6</v>
      </c>
      <c r="EQ292">
        <v>0</v>
      </c>
      <c r="ER292">
        <v>91.9</v>
      </c>
      <c r="ES292">
        <v>91.9</v>
      </c>
      <c r="ET292">
        <v>0</v>
      </c>
      <c r="EU292">
        <v>0</v>
      </c>
      <c r="EV292">
        <v>0</v>
      </c>
      <c r="EW292">
        <v>0</v>
      </c>
      <c r="EX292">
        <v>0</v>
      </c>
      <c r="FQ292">
        <v>0</v>
      </c>
      <c r="FR292">
        <f t="shared" si="295"/>
        <v>0</v>
      </c>
      <c r="FS292">
        <v>0</v>
      </c>
      <c r="FT292" t="s">
        <v>23</v>
      </c>
      <c r="FU292" t="s">
        <v>24</v>
      </c>
      <c r="FX292">
        <v>115.2</v>
      </c>
      <c r="FY292">
        <v>70.55</v>
      </c>
      <c r="GA292" t="s">
        <v>6</v>
      </c>
      <c r="GD292">
        <v>0</v>
      </c>
      <c r="GF292">
        <v>1628142620</v>
      </c>
      <c r="GG292">
        <v>1</v>
      </c>
      <c r="GH292">
        <v>1</v>
      </c>
      <c r="GI292">
        <v>4</v>
      </c>
      <c r="GJ292">
        <v>0</v>
      </c>
      <c r="GK292">
        <f>ROUND(R292*(R12)/100,2)</f>
        <v>0</v>
      </c>
      <c r="GL292">
        <f t="shared" si="296"/>
        <v>0</v>
      </c>
      <c r="GM292">
        <f t="shared" si="297"/>
        <v>1048.3</v>
      </c>
      <c r="GN292">
        <f t="shared" si="298"/>
        <v>1048.3</v>
      </c>
      <c r="GO292">
        <f t="shared" si="299"/>
        <v>0</v>
      </c>
      <c r="GP292">
        <f t="shared" si="300"/>
        <v>0</v>
      </c>
      <c r="GR292">
        <v>0</v>
      </c>
      <c r="GS292">
        <v>3</v>
      </c>
      <c r="GT292">
        <v>0</v>
      </c>
      <c r="GU292" t="s">
        <v>6</v>
      </c>
      <c r="GV292">
        <f t="shared" si="301"/>
        <v>0</v>
      </c>
      <c r="GW292">
        <v>1</v>
      </c>
      <c r="GX292">
        <f t="shared" si="302"/>
        <v>0</v>
      </c>
      <c r="HA292">
        <v>0</v>
      </c>
      <c r="HB292">
        <v>0</v>
      </c>
      <c r="HC292">
        <f t="shared" si="303"/>
        <v>0</v>
      </c>
      <c r="IK292">
        <v>0</v>
      </c>
    </row>
    <row r="293" spans="1:245" x14ac:dyDescent="0.2">
      <c r="A293">
        <v>18</v>
      </c>
      <c r="B293">
        <v>1</v>
      </c>
      <c r="C293">
        <v>389</v>
      </c>
      <c r="E293" t="s">
        <v>613</v>
      </c>
      <c r="F293" t="s">
        <v>614</v>
      </c>
      <c r="G293" t="s">
        <v>615</v>
      </c>
      <c r="H293" t="s">
        <v>350</v>
      </c>
      <c r="I293">
        <f>I291*J293</f>
        <v>17</v>
      </c>
      <c r="J293">
        <v>141.66666666666669</v>
      </c>
      <c r="O293">
        <f t="shared" si="269"/>
        <v>0</v>
      </c>
      <c r="P293">
        <f t="shared" si="270"/>
        <v>0</v>
      </c>
      <c r="Q293">
        <f t="shared" si="271"/>
        <v>0</v>
      </c>
      <c r="R293">
        <f t="shared" si="272"/>
        <v>0</v>
      </c>
      <c r="S293">
        <f t="shared" si="273"/>
        <v>0</v>
      </c>
      <c r="T293">
        <f t="shared" si="274"/>
        <v>0</v>
      </c>
      <c r="U293">
        <f t="shared" si="275"/>
        <v>0</v>
      </c>
      <c r="V293">
        <f t="shared" si="276"/>
        <v>0</v>
      </c>
      <c r="W293">
        <f t="shared" si="277"/>
        <v>0</v>
      </c>
      <c r="X293">
        <f t="shared" si="278"/>
        <v>0</v>
      </c>
      <c r="Y293">
        <f t="shared" si="279"/>
        <v>0</v>
      </c>
      <c r="AA293">
        <v>16808636</v>
      </c>
      <c r="AB293">
        <f t="shared" si="280"/>
        <v>0</v>
      </c>
      <c r="AC293">
        <f t="shared" si="281"/>
        <v>0</v>
      </c>
      <c r="AD293">
        <f>ROUND((((ET293)-(EU293))+AE293),2)</f>
        <v>0</v>
      </c>
      <c r="AE293">
        <f t="shared" si="304"/>
        <v>0</v>
      </c>
      <c r="AF293">
        <f t="shared" si="304"/>
        <v>0</v>
      </c>
      <c r="AG293">
        <f t="shared" si="282"/>
        <v>0</v>
      </c>
      <c r="AH293">
        <f t="shared" si="305"/>
        <v>0</v>
      </c>
      <c r="AI293">
        <f t="shared" si="305"/>
        <v>0</v>
      </c>
      <c r="AJ293">
        <f t="shared" si="283"/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115</v>
      </c>
      <c r="AU293">
        <v>71</v>
      </c>
      <c r="AV293">
        <v>1</v>
      </c>
      <c r="AW293">
        <v>1</v>
      </c>
      <c r="AZ293">
        <v>6.71</v>
      </c>
      <c r="BA293">
        <v>1</v>
      </c>
      <c r="BB293">
        <v>1</v>
      </c>
      <c r="BC293">
        <v>6.71</v>
      </c>
      <c r="BD293" t="s">
        <v>6</v>
      </c>
      <c r="BE293" t="s">
        <v>6</v>
      </c>
      <c r="BF293" t="s">
        <v>6</v>
      </c>
      <c r="BG293" t="s">
        <v>6</v>
      </c>
      <c r="BH293">
        <v>3</v>
      </c>
      <c r="BI293">
        <v>1</v>
      </c>
      <c r="BJ293" t="s">
        <v>6</v>
      </c>
      <c r="BM293">
        <v>16001</v>
      </c>
      <c r="BN293">
        <v>0</v>
      </c>
      <c r="BO293" t="s">
        <v>6</v>
      </c>
      <c r="BP293">
        <v>0</v>
      </c>
      <c r="BQ293">
        <v>2</v>
      </c>
      <c r="BR293">
        <v>0</v>
      </c>
      <c r="BS293">
        <v>1</v>
      </c>
      <c r="BT293">
        <v>1</v>
      </c>
      <c r="BU293">
        <v>1</v>
      </c>
      <c r="BV293">
        <v>1</v>
      </c>
      <c r="BW293">
        <v>1</v>
      </c>
      <c r="BX293">
        <v>1</v>
      </c>
      <c r="BY293" t="s">
        <v>6</v>
      </c>
      <c r="BZ293">
        <v>128</v>
      </c>
      <c r="CA293">
        <v>83</v>
      </c>
      <c r="CE293">
        <v>0</v>
      </c>
      <c r="CF293">
        <v>0</v>
      </c>
      <c r="CG293">
        <v>0</v>
      </c>
      <c r="CM293">
        <v>0</v>
      </c>
      <c r="CN293" t="s">
        <v>6</v>
      </c>
      <c r="CO293">
        <v>0</v>
      </c>
      <c r="CP293">
        <f t="shared" si="284"/>
        <v>0</v>
      </c>
      <c r="CQ293">
        <f t="shared" si="285"/>
        <v>0</v>
      </c>
      <c r="CR293">
        <f t="shared" si="286"/>
        <v>0</v>
      </c>
      <c r="CS293">
        <f t="shared" si="287"/>
        <v>0</v>
      </c>
      <c r="CT293">
        <f t="shared" si="288"/>
        <v>0</v>
      </c>
      <c r="CU293">
        <f t="shared" si="289"/>
        <v>0</v>
      </c>
      <c r="CV293">
        <f t="shared" si="290"/>
        <v>0</v>
      </c>
      <c r="CW293">
        <f t="shared" si="291"/>
        <v>0</v>
      </c>
      <c r="CX293">
        <f t="shared" si="292"/>
        <v>0</v>
      </c>
      <c r="CY293">
        <f t="shared" si="293"/>
        <v>0</v>
      </c>
      <c r="CZ293">
        <f t="shared" si="294"/>
        <v>0</v>
      </c>
      <c r="DC293" t="s">
        <v>6</v>
      </c>
      <c r="DD293" t="s">
        <v>6</v>
      </c>
      <c r="DE293" t="s">
        <v>6</v>
      </c>
      <c r="DF293" t="s">
        <v>6</v>
      </c>
      <c r="DG293" t="s">
        <v>6</v>
      </c>
      <c r="DH293" t="s">
        <v>6</v>
      </c>
      <c r="DI293" t="s">
        <v>6</v>
      </c>
      <c r="DJ293" t="s">
        <v>6</v>
      </c>
      <c r="DK293" t="s">
        <v>6</v>
      </c>
      <c r="DL293" t="s">
        <v>6</v>
      </c>
      <c r="DM293" t="s">
        <v>6</v>
      </c>
      <c r="DN293">
        <v>0</v>
      </c>
      <c r="DO293">
        <v>0</v>
      </c>
      <c r="DP293">
        <v>1</v>
      </c>
      <c r="DQ293">
        <v>1</v>
      </c>
      <c r="DU293">
        <v>1010</v>
      </c>
      <c r="DV293" t="s">
        <v>350</v>
      </c>
      <c r="DW293" t="s">
        <v>350</v>
      </c>
      <c r="DX293">
        <v>1</v>
      </c>
      <c r="EE293">
        <v>16510514</v>
      </c>
      <c r="EF293">
        <v>2</v>
      </c>
      <c r="EG293" t="s">
        <v>20</v>
      </c>
      <c r="EH293">
        <v>0</v>
      </c>
      <c r="EI293" t="s">
        <v>6</v>
      </c>
      <c r="EJ293">
        <v>1</v>
      </c>
      <c r="EK293">
        <v>16001</v>
      </c>
      <c r="EL293" t="s">
        <v>607</v>
      </c>
      <c r="EM293" t="s">
        <v>608</v>
      </c>
      <c r="EO293" t="s">
        <v>6</v>
      </c>
      <c r="EQ293">
        <v>0</v>
      </c>
      <c r="ER293">
        <v>0</v>
      </c>
      <c r="ES293">
        <v>0</v>
      </c>
      <c r="ET293">
        <v>0</v>
      </c>
      <c r="EU293">
        <v>0</v>
      </c>
      <c r="EV293">
        <v>0</v>
      </c>
      <c r="EW293">
        <v>0</v>
      </c>
      <c r="EX293">
        <v>0</v>
      </c>
      <c r="FQ293">
        <v>0</v>
      </c>
      <c r="FR293">
        <f t="shared" si="295"/>
        <v>0</v>
      </c>
      <c r="FS293">
        <v>0</v>
      </c>
      <c r="FT293" t="s">
        <v>23</v>
      </c>
      <c r="FU293" t="s">
        <v>24</v>
      </c>
      <c r="FX293">
        <v>115.2</v>
      </c>
      <c r="FY293">
        <v>70.55</v>
      </c>
      <c r="GA293" t="s">
        <v>6</v>
      </c>
      <c r="GD293">
        <v>0</v>
      </c>
      <c r="GF293">
        <v>152577442</v>
      </c>
      <c r="GG293">
        <v>1</v>
      </c>
      <c r="GH293">
        <v>1</v>
      </c>
      <c r="GI293">
        <v>4</v>
      </c>
      <c r="GJ293">
        <v>0</v>
      </c>
      <c r="GK293">
        <f>ROUND(R293*(R12)/100,2)</f>
        <v>0</v>
      </c>
      <c r="GL293">
        <f t="shared" si="296"/>
        <v>0</v>
      </c>
      <c r="GM293">
        <f t="shared" si="297"/>
        <v>0</v>
      </c>
      <c r="GN293">
        <f t="shared" si="298"/>
        <v>0</v>
      </c>
      <c r="GO293">
        <f t="shared" si="299"/>
        <v>0</v>
      </c>
      <c r="GP293">
        <f t="shared" si="300"/>
        <v>0</v>
      </c>
      <c r="GR293">
        <v>0</v>
      </c>
      <c r="GS293">
        <v>3</v>
      </c>
      <c r="GT293">
        <v>0</v>
      </c>
      <c r="GU293" t="s">
        <v>6</v>
      </c>
      <c r="GV293">
        <f t="shared" si="301"/>
        <v>0</v>
      </c>
      <c r="GW293">
        <v>1</v>
      </c>
      <c r="GX293">
        <f t="shared" si="302"/>
        <v>0</v>
      </c>
      <c r="HA293">
        <v>0</v>
      </c>
      <c r="HB293">
        <v>0</v>
      </c>
      <c r="HC293">
        <f t="shared" si="303"/>
        <v>0</v>
      </c>
      <c r="IK293">
        <v>0</v>
      </c>
    </row>
    <row r="294" spans="1:245" x14ac:dyDescent="0.2">
      <c r="A294">
        <v>18</v>
      </c>
      <c r="B294">
        <v>1</v>
      </c>
      <c r="C294">
        <v>391</v>
      </c>
      <c r="E294" t="s">
        <v>616</v>
      </c>
      <c r="F294" t="s">
        <v>617</v>
      </c>
      <c r="G294" t="s">
        <v>618</v>
      </c>
      <c r="H294" t="s">
        <v>202</v>
      </c>
      <c r="I294">
        <f>I291*J294</f>
        <v>12.06</v>
      </c>
      <c r="J294">
        <v>100.50000000000001</v>
      </c>
      <c r="O294">
        <f t="shared" si="269"/>
        <v>533.28</v>
      </c>
      <c r="P294">
        <f t="shared" si="270"/>
        <v>533.28</v>
      </c>
      <c r="Q294">
        <f t="shared" si="271"/>
        <v>0</v>
      </c>
      <c r="R294">
        <f t="shared" si="272"/>
        <v>0</v>
      </c>
      <c r="S294">
        <f t="shared" si="273"/>
        <v>0</v>
      </c>
      <c r="T294">
        <f t="shared" si="274"/>
        <v>0</v>
      </c>
      <c r="U294">
        <f t="shared" si="275"/>
        <v>0</v>
      </c>
      <c r="V294">
        <f t="shared" si="276"/>
        <v>0</v>
      </c>
      <c r="W294">
        <f t="shared" si="277"/>
        <v>0</v>
      </c>
      <c r="X294">
        <f t="shared" si="278"/>
        <v>0</v>
      </c>
      <c r="Y294">
        <f t="shared" si="279"/>
        <v>0</v>
      </c>
      <c r="AA294">
        <v>16808636</v>
      </c>
      <c r="AB294">
        <f t="shared" si="280"/>
        <v>6.59</v>
      </c>
      <c r="AC294">
        <f t="shared" si="281"/>
        <v>6.59</v>
      </c>
      <c r="AD294">
        <f>ROUND((((ET294)-(EU294))+AE294),2)</f>
        <v>0</v>
      </c>
      <c r="AE294">
        <f t="shared" si="304"/>
        <v>0</v>
      </c>
      <c r="AF294">
        <f t="shared" si="304"/>
        <v>0</v>
      </c>
      <c r="AG294">
        <f t="shared" si="282"/>
        <v>0</v>
      </c>
      <c r="AH294">
        <f t="shared" si="305"/>
        <v>0</v>
      </c>
      <c r="AI294">
        <f t="shared" si="305"/>
        <v>0</v>
      </c>
      <c r="AJ294">
        <f t="shared" si="283"/>
        <v>0</v>
      </c>
      <c r="AK294">
        <v>6.59</v>
      </c>
      <c r="AL294">
        <v>6.59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115</v>
      </c>
      <c r="AU294">
        <v>71</v>
      </c>
      <c r="AV294">
        <v>1</v>
      </c>
      <c r="AW294">
        <v>1</v>
      </c>
      <c r="AZ294">
        <v>6.71</v>
      </c>
      <c r="BA294">
        <v>1</v>
      </c>
      <c r="BB294">
        <v>1</v>
      </c>
      <c r="BC294">
        <v>6.71</v>
      </c>
      <c r="BD294" t="s">
        <v>6</v>
      </c>
      <c r="BE294" t="s">
        <v>6</v>
      </c>
      <c r="BF294" t="s">
        <v>6</v>
      </c>
      <c r="BG294" t="s">
        <v>6</v>
      </c>
      <c r="BH294">
        <v>3</v>
      </c>
      <c r="BI294">
        <v>1</v>
      </c>
      <c r="BJ294" t="s">
        <v>619</v>
      </c>
      <c r="BM294">
        <v>16001</v>
      </c>
      <c r="BN294">
        <v>0</v>
      </c>
      <c r="BO294" t="s">
        <v>6</v>
      </c>
      <c r="BP294">
        <v>0</v>
      </c>
      <c r="BQ294">
        <v>2</v>
      </c>
      <c r="BR294">
        <v>0</v>
      </c>
      <c r="BS294">
        <v>1</v>
      </c>
      <c r="BT294">
        <v>1</v>
      </c>
      <c r="BU294">
        <v>1</v>
      </c>
      <c r="BV294">
        <v>1</v>
      </c>
      <c r="BW294">
        <v>1</v>
      </c>
      <c r="BX294">
        <v>1</v>
      </c>
      <c r="BY294" t="s">
        <v>6</v>
      </c>
      <c r="BZ294">
        <v>128</v>
      </c>
      <c r="CA294">
        <v>83</v>
      </c>
      <c r="CE294">
        <v>0</v>
      </c>
      <c r="CF294">
        <v>0</v>
      </c>
      <c r="CG294">
        <v>0</v>
      </c>
      <c r="CM294">
        <v>0</v>
      </c>
      <c r="CN294" t="s">
        <v>6</v>
      </c>
      <c r="CO294">
        <v>0</v>
      </c>
      <c r="CP294">
        <f t="shared" si="284"/>
        <v>533.28</v>
      </c>
      <c r="CQ294">
        <f t="shared" si="285"/>
        <v>44.218899999999998</v>
      </c>
      <c r="CR294">
        <f t="shared" si="286"/>
        <v>0</v>
      </c>
      <c r="CS294">
        <f t="shared" si="287"/>
        <v>0</v>
      </c>
      <c r="CT294">
        <f t="shared" si="288"/>
        <v>0</v>
      </c>
      <c r="CU294">
        <f t="shared" si="289"/>
        <v>0</v>
      </c>
      <c r="CV294">
        <f t="shared" si="290"/>
        <v>0</v>
      </c>
      <c r="CW294">
        <f t="shared" si="291"/>
        <v>0</v>
      </c>
      <c r="CX294">
        <f t="shared" si="292"/>
        <v>0</v>
      </c>
      <c r="CY294">
        <f t="shared" si="293"/>
        <v>0</v>
      </c>
      <c r="CZ294">
        <f t="shared" si="294"/>
        <v>0</v>
      </c>
      <c r="DC294" t="s">
        <v>6</v>
      </c>
      <c r="DD294" t="s">
        <v>6</v>
      </c>
      <c r="DE294" t="s">
        <v>6</v>
      </c>
      <c r="DF294" t="s">
        <v>6</v>
      </c>
      <c r="DG294" t="s">
        <v>6</v>
      </c>
      <c r="DH294" t="s">
        <v>6</v>
      </c>
      <c r="DI294" t="s">
        <v>6</v>
      </c>
      <c r="DJ294" t="s">
        <v>6</v>
      </c>
      <c r="DK294" t="s">
        <v>6</v>
      </c>
      <c r="DL294" t="s">
        <v>6</v>
      </c>
      <c r="DM294" t="s">
        <v>6</v>
      </c>
      <c r="DN294">
        <v>0</v>
      </c>
      <c r="DO294">
        <v>0</v>
      </c>
      <c r="DP294">
        <v>1</v>
      </c>
      <c r="DQ294">
        <v>1</v>
      </c>
      <c r="DU294">
        <v>1003</v>
      </c>
      <c r="DV294" t="s">
        <v>202</v>
      </c>
      <c r="DW294" t="s">
        <v>202</v>
      </c>
      <c r="DX294">
        <v>1</v>
      </c>
      <c r="EE294">
        <v>16510514</v>
      </c>
      <c r="EF294">
        <v>2</v>
      </c>
      <c r="EG294" t="s">
        <v>20</v>
      </c>
      <c r="EH294">
        <v>0</v>
      </c>
      <c r="EI294" t="s">
        <v>6</v>
      </c>
      <c r="EJ294">
        <v>1</v>
      </c>
      <c r="EK294">
        <v>16001</v>
      </c>
      <c r="EL294" t="s">
        <v>607</v>
      </c>
      <c r="EM294" t="s">
        <v>608</v>
      </c>
      <c r="EO294" t="s">
        <v>6</v>
      </c>
      <c r="EQ294">
        <v>0</v>
      </c>
      <c r="ER294">
        <v>6.59</v>
      </c>
      <c r="ES294">
        <v>6.59</v>
      </c>
      <c r="ET294">
        <v>0</v>
      </c>
      <c r="EU294">
        <v>0</v>
      </c>
      <c r="EV294">
        <v>0</v>
      </c>
      <c r="EW294">
        <v>0</v>
      </c>
      <c r="EX294">
        <v>0</v>
      </c>
      <c r="FQ294">
        <v>0</v>
      </c>
      <c r="FR294">
        <f t="shared" si="295"/>
        <v>0</v>
      </c>
      <c r="FS294">
        <v>0</v>
      </c>
      <c r="FT294" t="s">
        <v>23</v>
      </c>
      <c r="FU294" t="s">
        <v>24</v>
      </c>
      <c r="FX294">
        <v>115.2</v>
      </c>
      <c r="FY294">
        <v>70.55</v>
      </c>
      <c r="GA294" t="s">
        <v>6</v>
      </c>
      <c r="GD294">
        <v>0</v>
      </c>
      <c r="GF294">
        <v>252660351</v>
      </c>
      <c r="GG294">
        <v>1</v>
      </c>
      <c r="GH294">
        <v>1</v>
      </c>
      <c r="GI294">
        <v>4</v>
      </c>
      <c r="GJ294">
        <v>0</v>
      </c>
      <c r="GK294">
        <f>ROUND(R294*(R12)/100,2)</f>
        <v>0</v>
      </c>
      <c r="GL294">
        <f t="shared" si="296"/>
        <v>0</v>
      </c>
      <c r="GM294">
        <f t="shared" si="297"/>
        <v>533.28</v>
      </c>
      <c r="GN294">
        <f t="shared" si="298"/>
        <v>533.28</v>
      </c>
      <c r="GO294">
        <f t="shared" si="299"/>
        <v>0</v>
      </c>
      <c r="GP294">
        <f t="shared" si="300"/>
        <v>0</v>
      </c>
      <c r="GR294">
        <v>0</v>
      </c>
      <c r="GS294">
        <v>3</v>
      </c>
      <c r="GT294">
        <v>0</v>
      </c>
      <c r="GU294" t="s">
        <v>6</v>
      </c>
      <c r="GV294">
        <f t="shared" si="301"/>
        <v>0</v>
      </c>
      <c r="GW294">
        <v>1</v>
      </c>
      <c r="GX294">
        <f t="shared" si="302"/>
        <v>0</v>
      </c>
      <c r="HA294">
        <v>0</v>
      </c>
      <c r="HB294">
        <v>0</v>
      </c>
      <c r="HC294">
        <f t="shared" si="303"/>
        <v>0</v>
      </c>
      <c r="IK294">
        <v>0</v>
      </c>
    </row>
    <row r="295" spans="1:245" x14ac:dyDescent="0.2">
      <c r="A295">
        <v>17</v>
      </c>
      <c r="B295">
        <v>1</v>
      </c>
      <c r="C295">
        <f>ROW(SmtRes!A399)</f>
        <v>399</v>
      </c>
      <c r="D295">
        <f>ROW(EtalonRes!A374)</f>
        <v>374</v>
      </c>
      <c r="E295" t="s">
        <v>620</v>
      </c>
      <c r="F295" t="s">
        <v>621</v>
      </c>
      <c r="G295" t="s">
        <v>622</v>
      </c>
      <c r="H295" t="s">
        <v>45</v>
      </c>
      <c r="I295">
        <v>6</v>
      </c>
      <c r="J295">
        <v>0</v>
      </c>
      <c r="O295">
        <f t="shared" si="269"/>
        <v>1828.2</v>
      </c>
      <c r="P295">
        <f t="shared" si="270"/>
        <v>1014.95</v>
      </c>
      <c r="Q295">
        <f t="shared" si="271"/>
        <v>169.09</v>
      </c>
      <c r="R295">
        <f t="shared" si="272"/>
        <v>5.64</v>
      </c>
      <c r="S295">
        <f t="shared" si="273"/>
        <v>644.16</v>
      </c>
      <c r="T295">
        <f t="shared" si="274"/>
        <v>0</v>
      </c>
      <c r="U295">
        <f t="shared" si="275"/>
        <v>10.584</v>
      </c>
      <c r="V295">
        <f t="shared" si="276"/>
        <v>7.2000000000000008E-2</v>
      </c>
      <c r="W295">
        <f t="shared" si="277"/>
        <v>0</v>
      </c>
      <c r="X295">
        <f t="shared" si="278"/>
        <v>747.27</v>
      </c>
      <c r="Y295">
        <f t="shared" si="279"/>
        <v>461.36</v>
      </c>
      <c r="AA295">
        <v>16808636</v>
      </c>
      <c r="AB295">
        <f t="shared" si="280"/>
        <v>45.41</v>
      </c>
      <c r="AC295">
        <f t="shared" si="281"/>
        <v>25.21</v>
      </c>
      <c r="AD295">
        <f>ROUND(((((ET295*1.2))-((EU295*1.2)))+AE295),2)</f>
        <v>4.2</v>
      </c>
      <c r="AE295">
        <f>ROUND(((EU295*1.2)),2)</f>
        <v>0.14000000000000001</v>
      </c>
      <c r="AF295">
        <f>ROUND(((EV295*1.2)),2)</f>
        <v>16</v>
      </c>
      <c r="AG295">
        <f t="shared" si="282"/>
        <v>0</v>
      </c>
      <c r="AH295">
        <f>((EW295*1.2))</f>
        <v>1.764</v>
      </c>
      <c r="AI295">
        <f>((EX295*1.2))</f>
        <v>1.2E-2</v>
      </c>
      <c r="AJ295">
        <f t="shared" si="283"/>
        <v>0</v>
      </c>
      <c r="AK295">
        <v>42.04</v>
      </c>
      <c r="AL295">
        <v>25.21</v>
      </c>
      <c r="AM295">
        <v>3.5</v>
      </c>
      <c r="AN295">
        <v>0.12</v>
      </c>
      <c r="AO295">
        <v>13.33</v>
      </c>
      <c r="AP295">
        <v>0</v>
      </c>
      <c r="AQ295">
        <v>1.47</v>
      </c>
      <c r="AR295">
        <v>0.01</v>
      </c>
      <c r="AS295">
        <v>0</v>
      </c>
      <c r="AT295">
        <v>115</v>
      </c>
      <c r="AU295">
        <v>71</v>
      </c>
      <c r="AV295">
        <v>1</v>
      </c>
      <c r="AW295">
        <v>1</v>
      </c>
      <c r="AZ295">
        <v>6.71</v>
      </c>
      <c r="BA295">
        <v>6.71</v>
      </c>
      <c r="BB295">
        <v>6.71</v>
      </c>
      <c r="BC295">
        <v>6.71</v>
      </c>
      <c r="BD295" t="s">
        <v>6</v>
      </c>
      <c r="BE295" t="s">
        <v>6</v>
      </c>
      <c r="BF295" t="s">
        <v>6</v>
      </c>
      <c r="BG295" t="s">
        <v>6</v>
      </c>
      <c r="BH295">
        <v>0</v>
      </c>
      <c r="BI295">
        <v>1</v>
      </c>
      <c r="BJ295" t="s">
        <v>623</v>
      </c>
      <c r="BM295">
        <v>16001</v>
      </c>
      <c r="BN295">
        <v>0</v>
      </c>
      <c r="BO295" t="s">
        <v>6</v>
      </c>
      <c r="BP295">
        <v>0</v>
      </c>
      <c r="BQ295">
        <v>2</v>
      </c>
      <c r="BR295">
        <v>0</v>
      </c>
      <c r="BS295">
        <v>6.71</v>
      </c>
      <c r="BT295">
        <v>1</v>
      </c>
      <c r="BU295">
        <v>1</v>
      </c>
      <c r="BV295">
        <v>1</v>
      </c>
      <c r="BW295">
        <v>1</v>
      </c>
      <c r="BX295">
        <v>1</v>
      </c>
      <c r="BY295" t="s">
        <v>6</v>
      </c>
      <c r="BZ295">
        <v>128</v>
      </c>
      <c r="CA295">
        <v>83</v>
      </c>
      <c r="CE295">
        <v>0</v>
      </c>
      <c r="CF295">
        <v>0</v>
      </c>
      <c r="CG295">
        <v>0</v>
      </c>
      <c r="CM295">
        <v>0</v>
      </c>
      <c r="CN295" t="s">
        <v>580</v>
      </c>
      <c r="CO295">
        <v>0</v>
      </c>
      <c r="CP295">
        <f t="shared" si="284"/>
        <v>1828.1999999999998</v>
      </c>
      <c r="CQ295">
        <f t="shared" si="285"/>
        <v>169.1591</v>
      </c>
      <c r="CR295">
        <f t="shared" si="286"/>
        <v>28.182000000000002</v>
      </c>
      <c r="CS295">
        <f t="shared" si="287"/>
        <v>0.93940000000000012</v>
      </c>
      <c r="CT295">
        <f t="shared" si="288"/>
        <v>107.36</v>
      </c>
      <c r="CU295">
        <f t="shared" si="289"/>
        <v>0</v>
      </c>
      <c r="CV295">
        <f t="shared" si="290"/>
        <v>1.764</v>
      </c>
      <c r="CW295">
        <f t="shared" si="291"/>
        <v>1.2E-2</v>
      </c>
      <c r="CX295">
        <f t="shared" si="292"/>
        <v>0</v>
      </c>
      <c r="CY295">
        <f t="shared" si="293"/>
        <v>747.27</v>
      </c>
      <c r="CZ295">
        <f t="shared" si="294"/>
        <v>461.35799999999995</v>
      </c>
      <c r="DC295" t="s">
        <v>6</v>
      </c>
      <c r="DD295" t="s">
        <v>6</v>
      </c>
      <c r="DE295" t="s">
        <v>443</v>
      </c>
      <c r="DF295" t="s">
        <v>443</v>
      </c>
      <c r="DG295" t="s">
        <v>443</v>
      </c>
      <c r="DH295" t="s">
        <v>6</v>
      </c>
      <c r="DI295" t="s">
        <v>443</v>
      </c>
      <c r="DJ295" t="s">
        <v>443</v>
      </c>
      <c r="DK295" t="s">
        <v>6</v>
      </c>
      <c r="DL295" t="s">
        <v>6</v>
      </c>
      <c r="DM295" t="s">
        <v>6</v>
      </c>
      <c r="DN295">
        <v>0</v>
      </c>
      <c r="DO295">
        <v>0</v>
      </c>
      <c r="DP295">
        <v>1</v>
      </c>
      <c r="DQ295">
        <v>1</v>
      </c>
      <c r="DU295">
        <v>1013</v>
      </c>
      <c r="DV295" t="s">
        <v>45</v>
      </c>
      <c r="DW295" t="s">
        <v>45</v>
      </c>
      <c r="DX295">
        <v>1</v>
      </c>
      <c r="EE295">
        <v>16510514</v>
      </c>
      <c r="EF295">
        <v>2</v>
      </c>
      <c r="EG295" t="s">
        <v>20</v>
      </c>
      <c r="EH295">
        <v>0</v>
      </c>
      <c r="EI295" t="s">
        <v>6</v>
      </c>
      <c r="EJ295">
        <v>1</v>
      </c>
      <c r="EK295">
        <v>16001</v>
      </c>
      <c r="EL295" t="s">
        <v>607</v>
      </c>
      <c r="EM295" t="s">
        <v>608</v>
      </c>
      <c r="EO295" t="s">
        <v>583</v>
      </c>
      <c r="EQ295">
        <v>131072</v>
      </c>
      <c r="ER295">
        <v>42.04</v>
      </c>
      <c r="ES295">
        <v>25.21</v>
      </c>
      <c r="ET295">
        <v>3.5</v>
      </c>
      <c r="EU295">
        <v>0.12</v>
      </c>
      <c r="EV295">
        <v>13.33</v>
      </c>
      <c r="EW295">
        <v>1.47</v>
      </c>
      <c r="EX295">
        <v>0.01</v>
      </c>
      <c r="EY295">
        <v>0</v>
      </c>
      <c r="FQ295">
        <v>0</v>
      </c>
      <c r="FR295">
        <f t="shared" si="295"/>
        <v>0</v>
      </c>
      <c r="FS295">
        <v>0</v>
      </c>
      <c r="FT295" t="s">
        <v>23</v>
      </c>
      <c r="FU295" t="s">
        <v>24</v>
      </c>
      <c r="FX295">
        <v>115.2</v>
      </c>
      <c r="FY295">
        <v>70.55</v>
      </c>
      <c r="GA295" t="s">
        <v>6</v>
      </c>
      <c r="GD295">
        <v>0</v>
      </c>
      <c r="GF295">
        <v>1420229388</v>
      </c>
      <c r="GG295">
        <v>1</v>
      </c>
      <c r="GH295">
        <v>1</v>
      </c>
      <c r="GI295">
        <v>4</v>
      </c>
      <c r="GJ295">
        <v>0</v>
      </c>
      <c r="GK295">
        <f>ROUND(R295*(R12)/100,2)</f>
        <v>0</v>
      </c>
      <c r="GL295">
        <f t="shared" si="296"/>
        <v>0</v>
      </c>
      <c r="GM295">
        <f t="shared" si="297"/>
        <v>3036.83</v>
      </c>
      <c r="GN295">
        <f t="shared" si="298"/>
        <v>3036.83</v>
      </c>
      <c r="GO295">
        <f t="shared" si="299"/>
        <v>0</v>
      </c>
      <c r="GP295">
        <f t="shared" si="300"/>
        <v>0</v>
      </c>
      <c r="GR295">
        <v>0</v>
      </c>
      <c r="GS295">
        <v>3</v>
      </c>
      <c r="GT295">
        <v>0</v>
      </c>
      <c r="GU295" t="s">
        <v>6</v>
      </c>
      <c r="GV295">
        <f t="shared" si="301"/>
        <v>0</v>
      </c>
      <c r="GW295">
        <v>1</v>
      </c>
      <c r="GX295">
        <f t="shared" si="302"/>
        <v>0</v>
      </c>
      <c r="HA295">
        <v>0</v>
      </c>
      <c r="HB295">
        <v>0</v>
      </c>
      <c r="HC295">
        <f t="shared" si="303"/>
        <v>0</v>
      </c>
      <c r="IK295">
        <v>0</v>
      </c>
    </row>
    <row r="296" spans="1:245" x14ac:dyDescent="0.2">
      <c r="A296">
        <v>18</v>
      </c>
      <c r="B296">
        <v>1</v>
      </c>
      <c r="C296">
        <v>399</v>
      </c>
      <c r="E296" t="s">
        <v>624</v>
      </c>
      <c r="F296" t="s">
        <v>625</v>
      </c>
      <c r="G296" t="s">
        <v>626</v>
      </c>
      <c r="H296" t="s">
        <v>350</v>
      </c>
      <c r="I296">
        <f>I295*J296</f>
        <v>6</v>
      </c>
      <c r="J296">
        <v>1</v>
      </c>
      <c r="O296">
        <f t="shared" si="269"/>
        <v>1095.07</v>
      </c>
      <c r="P296">
        <f t="shared" si="270"/>
        <v>1095.07</v>
      </c>
      <c r="Q296">
        <f t="shared" si="271"/>
        <v>0</v>
      </c>
      <c r="R296">
        <f t="shared" si="272"/>
        <v>0</v>
      </c>
      <c r="S296">
        <f t="shared" si="273"/>
        <v>0</v>
      </c>
      <c r="T296">
        <f t="shared" si="274"/>
        <v>0</v>
      </c>
      <c r="U296">
        <f t="shared" si="275"/>
        <v>0</v>
      </c>
      <c r="V296">
        <f t="shared" si="276"/>
        <v>0</v>
      </c>
      <c r="W296">
        <f t="shared" si="277"/>
        <v>0</v>
      </c>
      <c r="X296">
        <f t="shared" si="278"/>
        <v>0</v>
      </c>
      <c r="Y296">
        <f t="shared" si="279"/>
        <v>0</v>
      </c>
      <c r="AA296">
        <v>16808636</v>
      </c>
      <c r="AB296">
        <f t="shared" si="280"/>
        <v>27.2</v>
      </c>
      <c r="AC296">
        <f t="shared" si="281"/>
        <v>27.2</v>
      </c>
      <c r="AD296">
        <f>ROUND((((ET296)-(EU296))+AE296),2)</f>
        <v>0</v>
      </c>
      <c r="AE296">
        <f>ROUND((EU296),2)</f>
        <v>0</v>
      </c>
      <c r="AF296">
        <f>ROUND((EV296),2)</f>
        <v>0</v>
      </c>
      <c r="AG296">
        <f t="shared" si="282"/>
        <v>0</v>
      </c>
      <c r="AH296">
        <f>(EW296)</f>
        <v>0</v>
      </c>
      <c r="AI296">
        <f>(EX296)</f>
        <v>0</v>
      </c>
      <c r="AJ296">
        <f t="shared" si="283"/>
        <v>0</v>
      </c>
      <c r="AK296">
        <v>27.2</v>
      </c>
      <c r="AL296">
        <v>27.2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115</v>
      </c>
      <c r="AU296">
        <v>71</v>
      </c>
      <c r="AV296">
        <v>1</v>
      </c>
      <c r="AW296">
        <v>1</v>
      </c>
      <c r="AZ296">
        <v>6.71</v>
      </c>
      <c r="BA296">
        <v>1</v>
      </c>
      <c r="BB296">
        <v>1</v>
      </c>
      <c r="BC296">
        <v>6.71</v>
      </c>
      <c r="BD296" t="s">
        <v>6</v>
      </c>
      <c r="BE296" t="s">
        <v>6</v>
      </c>
      <c r="BF296" t="s">
        <v>6</v>
      </c>
      <c r="BG296" t="s">
        <v>6</v>
      </c>
      <c r="BH296">
        <v>3</v>
      </c>
      <c r="BI296">
        <v>1</v>
      </c>
      <c r="BJ296" t="s">
        <v>627</v>
      </c>
      <c r="BM296">
        <v>16001</v>
      </c>
      <c r="BN296">
        <v>0</v>
      </c>
      <c r="BO296" t="s">
        <v>6</v>
      </c>
      <c r="BP296">
        <v>0</v>
      </c>
      <c r="BQ296">
        <v>2</v>
      </c>
      <c r="BR296">
        <v>0</v>
      </c>
      <c r="BS296">
        <v>1</v>
      </c>
      <c r="BT296">
        <v>1</v>
      </c>
      <c r="BU296">
        <v>1</v>
      </c>
      <c r="BV296">
        <v>1</v>
      </c>
      <c r="BW296">
        <v>1</v>
      </c>
      <c r="BX296">
        <v>1</v>
      </c>
      <c r="BY296" t="s">
        <v>6</v>
      </c>
      <c r="BZ296">
        <v>128</v>
      </c>
      <c r="CA296">
        <v>83</v>
      </c>
      <c r="CE296">
        <v>0</v>
      </c>
      <c r="CF296">
        <v>0</v>
      </c>
      <c r="CG296">
        <v>0</v>
      </c>
      <c r="CM296">
        <v>0</v>
      </c>
      <c r="CN296" t="s">
        <v>6</v>
      </c>
      <c r="CO296">
        <v>0</v>
      </c>
      <c r="CP296">
        <f t="shared" si="284"/>
        <v>1095.07</v>
      </c>
      <c r="CQ296">
        <f t="shared" si="285"/>
        <v>182.512</v>
      </c>
      <c r="CR296">
        <f t="shared" si="286"/>
        <v>0</v>
      </c>
      <c r="CS296">
        <f t="shared" si="287"/>
        <v>0</v>
      </c>
      <c r="CT296">
        <f t="shared" si="288"/>
        <v>0</v>
      </c>
      <c r="CU296">
        <f t="shared" si="289"/>
        <v>0</v>
      </c>
      <c r="CV296">
        <f t="shared" si="290"/>
        <v>0</v>
      </c>
      <c r="CW296">
        <f t="shared" si="291"/>
        <v>0</v>
      </c>
      <c r="CX296">
        <f t="shared" si="292"/>
        <v>0</v>
      </c>
      <c r="CY296">
        <f t="shared" si="293"/>
        <v>0</v>
      </c>
      <c r="CZ296">
        <f t="shared" si="294"/>
        <v>0</v>
      </c>
      <c r="DC296" t="s">
        <v>6</v>
      </c>
      <c r="DD296" t="s">
        <v>6</v>
      </c>
      <c r="DE296" t="s">
        <v>6</v>
      </c>
      <c r="DF296" t="s">
        <v>6</v>
      </c>
      <c r="DG296" t="s">
        <v>6</v>
      </c>
      <c r="DH296" t="s">
        <v>6</v>
      </c>
      <c r="DI296" t="s">
        <v>6</v>
      </c>
      <c r="DJ296" t="s">
        <v>6</v>
      </c>
      <c r="DK296" t="s">
        <v>6</v>
      </c>
      <c r="DL296" t="s">
        <v>6</v>
      </c>
      <c r="DM296" t="s">
        <v>6</v>
      </c>
      <c r="DN296">
        <v>0</v>
      </c>
      <c r="DO296">
        <v>0</v>
      </c>
      <c r="DP296">
        <v>1</v>
      </c>
      <c r="DQ296">
        <v>1</v>
      </c>
      <c r="DU296">
        <v>1010</v>
      </c>
      <c r="DV296" t="s">
        <v>350</v>
      </c>
      <c r="DW296" t="s">
        <v>350</v>
      </c>
      <c r="DX296">
        <v>1</v>
      </c>
      <c r="EE296">
        <v>16510514</v>
      </c>
      <c r="EF296">
        <v>2</v>
      </c>
      <c r="EG296" t="s">
        <v>20</v>
      </c>
      <c r="EH296">
        <v>0</v>
      </c>
      <c r="EI296" t="s">
        <v>6</v>
      </c>
      <c r="EJ296">
        <v>1</v>
      </c>
      <c r="EK296">
        <v>16001</v>
      </c>
      <c r="EL296" t="s">
        <v>607</v>
      </c>
      <c r="EM296" t="s">
        <v>608</v>
      </c>
      <c r="EO296" t="s">
        <v>6</v>
      </c>
      <c r="EQ296">
        <v>0</v>
      </c>
      <c r="ER296">
        <v>27.2</v>
      </c>
      <c r="ES296">
        <v>27.2</v>
      </c>
      <c r="ET296">
        <v>0</v>
      </c>
      <c r="EU296">
        <v>0</v>
      </c>
      <c r="EV296">
        <v>0</v>
      </c>
      <c r="EW296">
        <v>0</v>
      </c>
      <c r="EX296">
        <v>0</v>
      </c>
      <c r="FQ296">
        <v>0</v>
      </c>
      <c r="FR296">
        <f t="shared" si="295"/>
        <v>0</v>
      </c>
      <c r="FS296">
        <v>0</v>
      </c>
      <c r="FT296" t="s">
        <v>23</v>
      </c>
      <c r="FU296" t="s">
        <v>24</v>
      </c>
      <c r="FX296">
        <v>115.2</v>
      </c>
      <c r="FY296">
        <v>70.55</v>
      </c>
      <c r="GA296" t="s">
        <v>6</v>
      </c>
      <c r="GD296">
        <v>0</v>
      </c>
      <c r="GF296">
        <v>234775077</v>
      </c>
      <c r="GG296">
        <v>1</v>
      </c>
      <c r="GH296">
        <v>1</v>
      </c>
      <c r="GI296">
        <v>4</v>
      </c>
      <c r="GJ296">
        <v>0</v>
      </c>
      <c r="GK296">
        <f>ROUND(R296*(R12)/100,2)</f>
        <v>0</v>
      </c>
      <c r="GL296">
        <f t="shared" si="296"/>
        <v>0</v>
      </c>
      <c r="GM296">
        <f t="shared" si="297"/>
        <v>1095.07</v>
      </c>
      <c r="GN296">
        <f t="shared" si="298"/>
        <v>1095.07</v>
      </c>
      <c r="GO296">
        <f t="shared" si="299"/>
        <v>0</v>
      </c>
      <c r="GP296">
        <f t="shared" si="300"/>
        <v>0</v>
      </c>
      <c r="GR296">
        <v>0</v>
      </c>
      <c r="GS296">
        <v>3</v>
      </c>
      <c r="GT296">
        <v>0</v>
      </c>
      <c r="GU296" t="s">
        <v>6</v>
      </c>
      <c r="GV296">
        <f t="shared" si="301"/>
        <v>0</v>
      </c>
      <c r="GW296">
        <v>1</v>
      </c>
      <c r="GX296">
        <f t="shared" si="302"/>
        <v>0</v>
      </c>
      <c r="HA296">
        <v>0</v>
      </c>
      <c r="HB296">
        <v>0</v>
      </c>
      <c r="HC296">
        <f t="shared" si="303"/>
        <v>0</v>
      </c>
      <c r="IK296">
        <v>0</v>
      </c>
    </row>
    <row r="297" spans="1:245" x14ac:dyDescent="0.2">
      <c r="A297">
        <v>17</v>
      </c>
      <c r="B297">
        <v>1</v>
      </c>
      <c r="C297">
        <f>ROW(SmtRes!A415)</f>
        <v>415</v>
      </c>
      <c r="D297">
        <f>ROW(EtalonRes!A389)</f>
        <v>389</v>
      </c>
      <c r="E297" t="s">
        <v>628</v>
      </c>
      <c r="F297" t="s">
        <v>629</v>
      </c>
      <c r="G297" t="s">
        <v>630</v>
      </c>
      <c r="H297" t="s">
        <v>631</v>
      </c>
      <c r="I297">
        <v>3</v>
      </c>
      <c r="J297">
        <v>0</v>
      </c>
      <c r="O297">
        <f t="shared" si="269"/>
        <v>1413.72</v>
      </c>
      <c r="P297">
        <f t="shared" si="270"/>
        <v>876.86</v>
      </c>
      <c r="Q297">
        <f t="shared" si="271"/>
        <v>14.29</v>
      </c>
      <c r="R297">
        <f t="shared" si="272"/>
        <v>0</v>
      </c>
      <c r="S297">
        <f t="shared" si="273"/>
        <v>522.57000000000005</v>
      </c>
      <c r="T297">
        <f t="shared" si="274"/>
        <v>0</v>
      </c>
      <c r="U297">
        <f t="shared" si="275"/>
        <v>7.5239999999999991</v>
      </c>
      <c r="V297">
        <f t="shared" si="276"/>
        <v>0</v>
      </c>
      <c r="W297">
        <f t="shared" si="277"/>
        <v>0</v>
      </c>
      <c r="X297">
        <f t="shared" si="278"/>
        <v>496.44</v>
      </c>
      <c r="Y297">
        <f t="shared" si="279"/>
        <v>339.67</v>
      </c>
      <c r="AA297">
        <v>16808636</v>
      </c>
      <c r="AB297">
        <f t="shared" si="280"/>
        <v>70.23</v>
      </c>
      <c r="AC297">
        <f t="shared" si="281"/>
        <v>43.56</v>
      </c>
      <c r="AD297">
        <f>ROUND(((((ET297*1.2))-((EU297*1.2)))+AE297),2)</f>
        <v>0.71</v>
      </c>
      <c r="AE297">
        <f>ROUND(((EU297*1.2)),2)</f>
        <v>0</v>
      </c>
      <c r="AF297">
        <f>ROUND(((EV297*1.2)),2)</f>
        <v>25.96</v>
      </c>
      <c r="AG297">
        <f t="shared" si="282"/>
        <v>0</v>
      </c>
      <c r="AH297">
        <f>((EW297*1.2))</f>
        <v>2.5079999999999996</v>
      </c>
      <c r="AI297">
        <f>((EX297*1.2))</f>
        <v>0</v>
      </c>
      <c r="AJ297">
        <f t="shared" si="283"/>
        <v>0</v>
      </c>
      <c r="AK297">
        <v>65.78</v>
      </c>
      <c r="AL297">
        <v>43.56</v>
      </c>
      <c r="AM297">
        <v>0.59</v>
      </c>
      <c r="AN297">
        <v>0</v>
      </c>
      <c r="AO297">
        <v>21.63</v>
      </c>
      <c r="AP297">
        <v>0</v>
      </c>
      <c r="AQ297">
        <v>2.09</v>
      </c>
      <c r="AR297">
        <v>0</v>
      </c>
      <c r="AS297">
        <v>0</v>
      </c>
      <c r="AT297">
        <v>95</v>
      </c>
      <c r="AU297">
        <v>65</v>
      </c>
      <c r="AV297">
        <v>1</v>
      </c>
      <c r="AW297">
        <v>1</v>
      </c>
      <c r="AZ297">
        <v>6.71</v>
      </c>
      <c r="BA297">
        <v>6.71</v>
      </c>
      <c r="BB297">
        <v>6.71</v>
      </c>
      <c r="BC297">
        <v>6.71</v>
      </c>
      <c r="BD297" t="s">
        <v>6</v>
      </c>
      <c r="BE297" t="s">
        <v>6</v>
      </c>
      <c r="BF297" t="s">
        <v>6</v>
      </c>
      <c r="BG297" t="s">
        <v>6</v>
      </c>
      <c r="BH297">
        <v>0</v>
      </c>
      <c r="BI297">
        <v>2</v>
      </c>
      <c r="BJ297" t="s">
        <v>632</v>
      </c>
      <c r="BM297">
        <v>108001</v>
      </c>
      <c r="BN297">
        <v>0</v>
      </c>
      <c r="BO297" t="s">
        <v>6</v>
      </c>
      <c r="BP297">
        <v>0</v>
      </c>
      <c r="BQ297">
        <v>3</v>
      </c>
      <c r="BR297">
        <v>0</v>
      </c>
      <c r="BS297">
        <v>6.71</v>
      </c>
      <c r="BT297">
        <v>1</v>
      </c>
      <c r="BU297">
        <v>1</v>
      </c>
      <c r="BV297">
        <v>1</v>
      </c>
      <c r="BW297">
        <v>1</v>
      </c>
      <c r="BX297">
        <v>1</v>
      </c>
      <c r="BY297" t="s">
        <v>6</v>
      </c>
      <c r="BZ297">
        <v>95</v>
      </c>
      <c r="CA297">
        <v>65</v>
      </c>
      <c r="CE297">
        <v>0</v>
      </c>
      <c r="CF297">
        <v>0</v>
      </c>
      <c r="CG297">
        <v>0</v>
      </c>
      <c r="CM297">
        <v>0</v>
      </c>
      <c r="CN297" t="s">
        <v>442</v>
      </c>
      <c r="CO297">
        <v>0</v>
      </c>
      <c r="CP297">
        <f t="shared" si="284"/>
        <v>1413.72</v>
      </c>
      <c r="CQ297">
        <f t="shared" si="285"/>
        <v>292.2876</v>
      </c>
      <c r="CR297">
        <f t="shared" si="286"/>
        <v>4.7641</v>
      </c>
      <c r="CS297">
        <f t="shared" si="287"/>
        <v>0</v>
      </c>
      <c r="CT297">
        <f t="shared" si="288"/>
        <v>174.19159999999999</v>
      </c>
      <c r="CU297">
        <f t="shared" si="289"/>
        <v>0</v>
      </c>
      <c r="CV297">
        <f t="shared" si="290"/>
        <v>2.5079999999999996</v>
      </c>
      <c r="CW297">
        <f t="shared" si="291"/>
        <v>0</v>
      </c>
      <c r="CX297">
        <f t="shared" si="292"/>
        <v>0</v>
      </c>
      <c r="CY297">
        <f t="shared" si="293"/>
        <v>496.44150000000002</v>
      </c>
      <c r="CZ297">
        <f t="shared" si="294"/>
        <v>339.6705</v>
      </c>
      <c r="DC297" t="s">
        <v>6</v>
      </c>
      <c r="DD297" t="s">
        <v>6</v>
      </c>
      <c r="DE297" t="s">
        <v>443</v>
      </c>
      <c r="DF297" t="s">
        <v>443</v>
      </c>
      <c r="DG297" t="s">
        <v>443</v>
      </c>
      <c r="DH297" t="s">
        <v>6</v>
      </c>
      <c r="DI297" t="s">
        <v>443</v>
      </c>
      <c r="DJ297" t="s">
        <v>443</v>
      </c>
      <c r="DK297" t="s">
        <v>6</v>
      </c>
      <c r="DL297" t="s">
        <v>6</v>
      </c>
      <c r="DM297" t="s">
        <v>6</v>
      </c>
      <c r="DN297">
        <v>0</v>
      </c>
      <c r="DO297">
        <v>0</v>
      </c>
      <c r="DP297">
        <v>1</v>
      </c>
      <c r="DQ297">
        <v>1</v>
      </c>
      <c r="DU297">
        <v>1013</v>
      </c>
      <c r="DV297" t="s">
        <v>631</v>
      </c>
      <c r="DW297" t="s">
        <v>631</v>
      </c>
      <c r="DX297">
        <v>1</v>
      </c>
      <c r="EE297">
        <v>16510370</v>
      </c>
      <c r="EF297">
        <v>3</v>
      </c>
      <c r="EG297" t="s">
        <v>50</v>
      </c>
      <c r="EH297">
        <v>0</v>
      </c>
      <c r="EI297" t="s">
        <v>6</v>
      </c>
      <c r="EJ297">
        <v>2</v>
      </c>
      <c r="EK297">
        <v>108001</v>
      </c>
      <c r="EL297" t="s">
        <v>51</v>
      </c>
      <c r="EM297" t="s">
        <v>52</v>
      </c>
      <c r="EO297" t="s">
        <v>444</v>
      </c>
      <c r="EQ297">
        <v>131072</v>
      </c>
      <c r="ER297">
        <v>65.78</v>
      </c>
      <c r="ES297">
        <v>43.56</v>
      </c>
      <c r="ET297">
        <v>0.59</v>
      </c>
      <c r="EU297">
        <v>0</v>
      </c>
      <c r="EV297">
        <v>21.63</v>
      </c>
      <c r="EW297">
        <v>2.09</v>
      </c>
      <c r="EX297">
        <v>0</v>
      </c>
      <c r="EY297">
        <v>0</v>
      </c>
      <c r="FQ297">
        <v>0</v>
      </c>
      <c r="FR297">
        <f t="shared" si="295"/>
        <v>0</v>
      </c>
      <c r="FS297">
        <v>0</v>
      </c>
      <c r="FX297">
        <v>95</v>
      </c>
      <c r="FY297">
        <v>65</v>
      </c>
      <c r="GA297" t="s">
        <v>6</v>
      </c>
      <c r="GD297">
        <v>0</v>
      </c>
      <c r="GF297">
        <v>2086670587</v>
      </c>
      <c r="GG297">
        <v>1</v>
      </c>
      <c r="GH297">
        <v>1</v>
      </c>
      <c r="GI297">
        <v>4</v>
      </c>
      <c r="GJ297">
        <v>0</v>
      </c>
      <c r="GK297">
        <f>ROUND(R297*(R12)/100,2)</f>
        <v>0</v>
      </c>
      <c r="GL297">
        <f t="shared" si="296"/>
        <v>0</v>
      </c>
      <c r="GM297">
        <f t="shared" si="297"/>
        <v>2249.83</v>
      </c>
      <c r="GN297">
        <f t="shared" si="298"/>
        <v>0</v>
      </c>
      <c r="GO297">
        <f t="shared" si="299"/>
        <v>2249.83</v>
      </c>
      <c r="GP297">
        <f t="shared" si="300"/>
        <v>0</v>
      </c>
      <c r="GR297">
        <v>0</v>
      </c>
      <c r="GS297">
        <v>3</v>
      </c>
      <c r="GT297">
        <v>0</v>
      </c>
      <c r="GU297" t="s">
        <v>6</v>
      </c>
      <c r="GV297">
        <f t="shared" si="301"/>
        <v>0</v>
      </c>
      <c r="GW297">
        <v>1</v>
      </c>
      <c r="GX297">
        <f t="shared" si="302"/>
        <v>0</v>
      </c>
      <c r="HA297">
        <v>0</v>
      </c>
      <c r="HB297">
        <v>0</v>
      </c>
      <c r="HC297">
        <f t="shared" si="303"/>
        <v>0</v>
      </c>
      <c r="IK297">
        <v>0</v>
      </c>
    </row>
    <row r="298" spans="1:245" x14ac:dyDescent="0.2">
      <c r="A298">
        <v>18</v>
      </c>
      <c r="B298">
        <v>1</v>
      </c>
      <c r="C298">
        <v>414</v>
      </c>
      <c r="E298" t="s">
        <v>633</v>
      </c>
      <c r="F298" t="s">
        <v>634</v>
      </c>
      <c r="G298" t="s">
        <v>635</v>
      </c>
      <c r="H298" t="s">
        <v>350</v>
      </c>
      <c r="I298">
        <f>I297*J298</f>
        <v>3</v>
      </c>
      <c r="J298">
        <v>1</v>
      </c>
      <c r="O298">
        <f t="shared" si="269"/>
        <v>51779.8</v>
      </c>
      <c r="P298">
        <f t="shared" si="270"/>
        <v>51779.8</v>
      </c>
      <c r="Q298">
        <f t="shared" si="271"/>
        <v>0</v>
      </c>
      <c r="R298">
        <f t="shared" si="272"/>
        <v>0</v>
      </c>
      <c r="S298">
        <f t="shared" si="273"/>
        <v>0</v>
      </c>
      <c r="T298">
        <f t="shared" si="274"/>
        <v>0</v>
      </c>
      <c r="U298">
        <f t="shared" si="275"/>
        <v>0</v>
      </c>
      <c r="V298">
        <f t="shared" si="276"/>
        <v>0</v>
      </c>
      <c r="W298">
        <f t="shared" si="277"/>
        <v>0</v>
      </c>
      <c r="X298">
        <f t="shared" si="278"/>
        <v>0</v>
      </c>
      <c r="Y298">
        <f t="shared" si="279"/>
        <v>0</v>
      </c>
      <c r="AA298">
        <v>16808636</v>
      </c>
      <c r="AB298">
        <f t="shared" si="280"/>
        <v>2572.27</v>
      </c>
      <c r="AC298">
        <f t="shared" si="281"/>
        <v>2572.27</v>
      </c>
      <c r="AD298">
        <f>ROUND((((ET298)-(EU298))+AE298),2)</f>
        <v>0</v>
      </c>
      <c r="AE298">
        <f>ROUND((EU298),2)</f>
        <v>0</v>
      </c>
      <c r="AF298">
        <f>ROUND((EV298),2)</f>
        <v>0</v>
      </c>
      <c r="AG298">
        <f t="shared" si="282"/>
        <v>0</v>
      </c>
      <c r="AH298">
        <f>(EW298)</f>
        <v>0</v>
      </c>
      <c r="AI298">
        <f>(EX298)</f>
        <v>0</v>
      </c>
      <c r="AJ298">
        <f t="shared" si="283"/>
        <v>0</v>
      </c>
      <c r="AK298">
        <v>2572.27</v>
      </c>
      <c r="AL298">
        <v>2572.27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95</v>
      </c>
      <c r="AU298">
        <v>65</v>
      </c>
      <c r="AV298">
        <v>1</v>
      </c>
      <c r="AW298">
        <v>1</v>
      </c>
      <c r="AZ298">
        <v>6.71</v>
      </c>
      <c r="BA298">
        <v>1</v>
      </c>
      <c r="BB298">
        <v>1</v>
      </c>
      <c r="BC298">
        <v>6.71</v>
      </c>
      <c r="BD298" t="s">
        <v>6</v>
      </c>
      <c r="BE298" t="s">
        <v>6</v>
      </c>
      <c r="BF298" t="s">
        <v>6</v>
      </c>
      <c r="BG298" t="s">
        <v>6</v>
      </c>
      <c r="BH298">
        <v>3</v>
      </c>
      <c r="BI298">
        <v>2</v>
      </c>
      <c r="BJ298" t="s">
        <v>636</v>
      </c>
      <c r="BM298">
        <v>108001</v>
      </c>
      <c r="BN298">
        <v>0</v>
      </c>
      <c r="BO298" t="s">
        <v>6</v>
      </c>
      <c r="BP298">
        <v>0</v>
      </c>
      <c r="BQ298">
        <v>3</v>
      </c>
      <c r="BR298">
        <v>0</v>
      </c>
      <c r="BS298">
        <v>1</v>
      </c>
      <c r="BT298">
        <v>1</v>
      </c>
      <c r="BU298">
        <v>1</v>
      </c>
      <c r="BV298">
        <v>1</v>
      </c>
      <c r="BW298">
        <v>1</v>
      </c>
      <c r="BX298">
        <v>1</v>
      </c>
      <c r="BY298" t="s">
        <v>6</v>
      </c>
      <c r="BZ298">
        <v>95</v>
      </c>
      <c r="CA298">
        <v>65</v>
      </c>
      <c r="CE298">
        <v>0</v>
      </c>
      <c r="CF298">
        <v>0</v>
      </c>
      <c r="CG298">
        <v>0</v>
      </c>
      <c r="CM298">
        <v>0</v>
      </c>
      <c r="CN298" t="s">
        <v>6</v>
      </c>
      <c r="CO298">
        <v>0</v>
      </c>
      <c r="CP298">
        <f t="shared" si="284"/>
        <v>51779.8</v>
      </c>
      <c r="CQ298">
        <f t="shared" si="285"/>
        <v>17259.931700000001</v>
      </c>
      <c r="CR298">
        <f t="shared" si="286"/>
        <v>0</v>
      </c>
      <c r="CS298">
        <f t="shared" si="287"/>
        <v>0</v>
      </c>
      <c r="CT298">
        <f t="shared" si="288"/>
        <v>0</v>
      </c>
      <c r="CU298">
        <f t="shared" si="289"/>
        <v>0</v>
      </c>
      <c r="CV298">
        <f t="shared" si="290"/>
        <v>0</v>
      </c>
      <c r="CW298">
        <f t="shared" si="291"/>
        <v>0</v>
      </c>
      <c r="CX298">
        <f t="shared" si="292"/>
        <v>0</v>
      </c>
      <c r="CY298">
        <f t="shared" si="293"/>
        <v>0</v>
      </c>
      <c r="CZ298">
        <f t="shared" si="294"/>
        <v>0</v>
      </c>
      <c r="DC298" t="s">
        <v>6</v>
      </c>
      <c r="DD298" t="s">
        <v>6</v>
      </c>
      <c r="DE298" t="s">
        <v>6</v>
      </c>
      <c r="DF298" t="s">
        <v>6</v>
      </c>
      <c r="DG298" t="s">
        <v>6</v>
      </c>
      <c r="DH298" t="s">
        <v>6</v>
      </c>
      <c r="DI298" t="s">
        <v>6</v>
      </c>
      <c r="DJ298" t="s">
        <v>6</v>
      </c>
      <c r="DK298" t="s">
        <v>6</v>
      </c>
      <c r="DL298" t="s">
        <v>6</v>
      </c>
      <c r="DM298" t="s">
        <v>6</v>
      </c>
      <c r="DN298">
        <v>0</v>
      </c>
      <c r="DO298">
        <v>0</v>
      </c>
      <c r="DP298">
        <v>1</v>
      </c>
      <c r="DQ298">
        <v>1</v>
      </c>
      <c r="DU298">
        <v>1010</v>
      </c>
      <c r="DV298" t="s">
        <v>350</v>
      </c>
      <c r="DW298" t="s">
        <v>350</v>
      </c>
      <c r="DX298">
        <v>1</v>
      </c>
      <c r="EE298">
        <v>16510370</v>
      </c>
      <c r="EF298">
        <v>3</v>
      </c>
      <c r="EG298" t="s">
        <v>50</v>
      </c>
      <c r="EH298">
        <v>0</v>
      </c>
      <c r="EI298" t="s">
        <v>6</v>
      </c>
      <c r="EJ298">
        <v>2</v>
      </c>
      <c r="EK298">
        <v>108001</v>
      </c>
      <c r="EL298" t="s">
        <v>51</v>
      </c>
      <c r="EM298" t="s">
        <v>52</v>
      </c>
      <c r="EO298" t="s">
        <v>6</v>
      </c>
      <c r="EQ298">
        <v>0</v>
      </c>
      <c r="ER298">
        <v>2572.27</v>
      </c>
      <c r="ES298">
        <v>2572.27</v>
      </c>
      <c r="ET298">
        <v>0</v>
      </c>
      <c r="EU298">
        <v>0</v>
      </c>
      <c r="EV298">
        <v>0</v>
      </c>
      <c r="EW298">
        <v>0</v>
      </c>
      <c r="EX298">
        <v>0</v>
      </c>
      <c r="FQ298">
        <v>0</v>
      </c>
      <c r="FR298">
        <f t="shared" si="295"/>
        <v>0</v>
      </c>
      <c r="FS298">
        <v>0</v>
      </c>
      <c r="FX298">
        <v>95</v>
      </c>
      <c r="FY298">
        <v>65</v>
      </c>
      <c r="GA298" t="s">
        <v>6</v>
      </c>
      <c r="GD298">
        <v>0</v>
      </c>
      <c r="GF298">
        <v>-16897342</v>
      </c>
      <c r="GG298">
        <v>1</v>
      </c>
      <c r="GH298">
        <v>1</v>
      </c>
      <c r="GI298">
        <v>4</v>
      </c>
      <c r="GJ298">
        <v>0</v>
      </c>
      <c r="GK298">
        <f>ROUND(R298*(R12)/100,2)</f>
        <v>0</v>
      </c>
      <c r="GL298">
        <f t="shared" si="296"/>
        <v>0</v>
      </c>
      <c r="GM298">
        <f t="shared" si="297"/>
        <v>51779.8</v>
      </c>
      <c r="GN298">
        <f t="shared" si="298"/>
        <v>0</v>
      </c>
      <c r="GO298">
        <f t="shared" si="299"/>
        <v>51779.8</v>
      </c>
      <c r="GP298">
        <f t="shared" si="300"/>
        <v>0</v>
      </c>
      <c r="GR298">
        <v>0</v>
      </c>
      <c r="GS298">
        <v>3</v>
      </c>
      <c r="GT298">
        <v>0</v>
      </c>
      <c r="GU298" t="s">
        <v>6</v>
      </c>
      <c r="GV298">
        <f t="shared" si="301"/>
        <v>0</v>
      </c>
      <c r="GW298">
        <v>1</v>
      </c>
      <c r="GX298">
        <f t="shared" si="302"/>
        <v>0</v>
      </c>
      <c r="HA298">
        <v>0</v>
      </c>
      <c r="HB298">
        <v>0</v>
      </c>
      <c r="HC298">
        <f t="shared" si="303"/>
        <v>0</v>
      </c>
      <c r="IK298">
        <v>0</v>
      </c>
    </row>
    <row r="300" spans="1:245" x14ac:dyDescent="0.2">
      <c r="A300" s="2">
        <v>51</v>
      </c>
      <c r="B300" s="2">
        <f>B281</f>
        <v>1</v>
      </c>
      <c r="C300" s="2">
        <f>A281</f>
        <v>4</v>
      </c>
      <c r="D300" s="2">
        <f>ROW(A281)</f>
        <v>281</v>
      </c>
      <c r="E300" s="2"/>
      <c r="F300" s="2" t="str">
        <f>IF(F281&lt;&gt;"",F281,"")</f>
        <v>Новый раздел</v>
      </c>
      <c r="G300" s="2" t="str">
        <f>IF(G281&lt;&gt;"",G281,"")</f>
        <v>Сантехнические работы</v>
      </c>
      <c r="H300" s="2">
        <v>0</v>
      </c>
      <c r="I300" s="2"/>
      <c r="J300" s="2"/>
      <c r="K300" s="2"/>
      <c r="L300" s="2"/>
      <c r="M300" s="2"/>
      <c r="N300" s="2"/>
      <c r="O300" s="2">
        <f t="shared" ref="O300:T300" si="306">ROUND(AB300,2)</f>
        <v>72381.27</v>
      </c>
      <c r="P300" s="2">
        <f t="shared" si="306"/>
        <v>69288.759999999995</v>
      </c>
      <c r="Q300" s="2">
        <f t="shared" si="306"/>
        <v>663.33</v>
      </c>
      <c r="R300" s="2">
        <f t="shared" si="306"/>
        <v>11.93</v>
      </c>
      <c r="S300" s="2">
        <f t="shared" si="306"/>
        <v>2429.1799999999998</v>
      </c>
      <c r="T300" s="2">
        <f t="shared" si="306"/>
        <v>0</v>
      </c>
      <c r="U300" s="2">
        <f>AH300</f>
        <v>37.825200000000002</v>
      </c>
      <c r="V300" s="2">
        <f>AI300</f>
        <v>0.14904000000000001</v>
      </c>
      <c r="W300" s="2">
        <f>ROUND(AJ300,2)</f>
        <v>0</v>
      </c>
      <c r="X300" s="2">
        <f>ROUND(AK300,2)</f>
        <v>2702.76</v>
      </c>
      <c r="Y300" s="2">
        <f>ROUND(AL300,2)</f>
        <v>1701.84</v>
      </c>
      <c r="Z300" s="2"/>
      <c r="AA300" s="2"/>
      <c r="AB300" s="2">
        <f>ROUND(SUMIF(AA285:AA298,"=16808636",O285:O298),2)</f>
        <v>72381.27</v>
      </c>
      <c r="AC300" s="2">
        <f>ROUND(SUMIF(AA285:AA298,"=16808636",P285:P298),2)</f>
        <v>69288.759999999995</v>
      </c>
      <c r="AD300" s="2">
        <f>ROUND(SUMIF(AA285:AA298,"=16808636",Q285:Q298),2)</f>
        <v>663.33</v>
      </c>
      <c r="AE300" s="2">
        <f>ROUND(SUMIF(AA285:AA298,"=16808636",R285:R298),2)</f>
        <v>11.93</v>
      </c>
      <c r="AF300" s="2">
        <f>ROUND(SUMIF(AA285:AA298,"=16808636",S285:S298),2)</f>
        <v>2429.1799999999998</v>
      </c>
      <c r="AG300" s="2">
        <f>ROUND(SUMIF(AA285:AA298,"=16808636",T285:T298),2)</f>
        <v>0</v>
      </c>
      <c r="AH300" s="2">
        <f>SUMIF(AA285:AA298,"=16808636",U285:U298)</f>
        <v>37.825200000000002</v>
      </c>
      <c r="AI300" s="2">
        <f>SUMIF(AA285:AA298,"=16808636",V285:V298)</f>
        <v>0.14904000000000001</v>
      </c>
      <c r="AJ300" s="2">
        <f>ROUND(SUMIF(AA285:AA298,"=16808636",W285:W298),2)</f>
        <v>0</v>
      </c>
      <c r="AK300" s="2">
        <f>ROUND(SUMIF(AA285:AA298,"=16808636",X285:X298),2)</f>
        <v>2702.76</v>
      </c>
      <c r="AL300" s="2">
        <f>ROUND(SUMIF(AA285:AA298,"=16808636",Y285:Y298),2)</f>
        <v>1701.84</v>
      </c>
      <c r="AM300" s="2"/>
      <c r="AN300" s="2"/>
      <c r="AO300" s="2">
        <f t="shared" ref="AO300:BC300" si="307">ROUND(BX300,2)</f>
        <v>0</v>
      </c>
      <c r="AP300" s="2">
        <f t="shared" si="307"/>
        <v>0</v>
      </c>
      <c r="AQ300" s="2">
        <f t="shared" si="307"/>
        <v>0</v>
      </c>
      <c r="AR300" s="2">
        <f t="shared" si="307"/>
        <v>76785.87</v>
      </c>
      <c r="AS300" s="2">
        <f t="shared" si="307"/>
        <v>22756.240000000002</v>
      </c>
      <c r="AT300" s="2">
        <f t="shared" si="307"/>
        <v>54029.63</v>
      </c>
      <c r="AU300" s="2">
        <f t="shared" si="307"/>
        <v>0</v>
      </c>
      <c r="AV300" s="2">
        <f t="shared" si="307"/>
        <v>69288.759999999995</v>
      </c>
      <c r="AW300" s="2">
        <f t="shared" si="307"/>
        <v>69288.759999999995</v>
      </c>
      <c r="AX300" s="2">
        <f t="shared" si="307"/>
        <v>0</v>
      </c>
      <c r="AY300" s="2">
        <f t="shared" si="307"/>
        <v>69288.759999999995</v>
      </c>
      <c r="AZ300" s="2">
        <f t="shared" si="307"/>
        <v>0</v>
      </c>
      <c r="BA300" s="2">
        <f t="shared" si="307"/>
        <v>0</v>
      </c>
      <c r="BB300" s="2">
        <f t="shared" si="307"/>
        <v>0</v>
      </c>
      <c r="BC300" s="2">
        <f t="shared" si="307"/>
        <v>0</v>
      </c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>
        <f>ROUND(SUMIF(AA285:AA298,"=16808636",FQ285:FQ298),2)</f>
        <v>0</v>
      </c>
      <c r="BY300" s="2">
        <f>ROUND(SUMIF(AA285:AA298,"=16808636",FR285:FR298),2)</f>
        <v>0</v>
      </c>
      <c r="BZ300" s="2">
        <f>ROUND(SUMIF(AA285:AA298,"=16808636",GL285:GL298),2)</f>
        <v>0</v>
      </c>
      <c r="CA300" s="2">
        <f>ROUND(SUMIF(AA285:AA298,"=16808636",GM285:GM298),2)</f>
        <v>76785.87</v>
      </c>
      <c r="CB300" s="2">
        <f>ROUND(SUMIF(AA285:AA298,"=16808636",GN285:GN298),2)</f>
        <v>22756.240000000002</v>
      </c>
      <c r="CC300" s="2">
        <f>ROUND(SUMIF(AA285:AA298,"=16808636",GO285:GO298),2)</f>
        <v>54029.63</v>
      </c>
      <c r="CD300" s="2">
        <f>ROUND(SUMIF(AA285:AA298,"=16808636",GP285:GP298),2)</f>
        <v>0</v>
      </c>
      <c r="CE300" s="2">
        <f>AC300-BX300</f>
        <v>69288.759999999995</v>
      </c>
      <c r="CF300" s="2">
        <f>AC300-BY300</f>
        <v>69288.759999999995</v>
      </c>
      <c r="CG300" s="2">
        <f>BX300-BZ300</f>
        <v>0</v>
      </c>
      <c r="CH300" s="2">
        <f>AC300-BX300-BY300+BZ300</f>
        <v>69288.759999999995</v>
      </c>
      <c r="CI300" s="2">
        <f>BY300-BZ300</f>
        <v>0</v>
      </c>
      <c r="CJ300" s="2">
        <f>ROUND(SUMIF(AA285:AA298,"=16808636",GX285:GX298),2)</f>
        <v>0</v>
      </c>
      <c r="CK300" s="2">
        <f>ROUND(SUMIF(AA285:AA298,"=16808636",GY285:GY298),2)</f>
        <v>0</v>
      </c>
      <c r="CL300" s="2">
        <f>ROUND(SUMIF(AA285:AA298,"=16808636",GZ285:GZ298),2)</f>
        <v>0</v>
      </c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3"/>
      <c r="DH300" s="3"/>
      <c r="DI300" s="3"/>
      <c r="DJ300" s="3"/>
      <c r="DK300" s="3"/>
      <c r="DL300" s="3"/>
      <c r="DM300" s="3"/>
      <c r="DN300" s="3"/>
      <c r="DO300" s="3"/>
      <c r="DP300" s="3"/>
      <c r="DQ300" s="3"/>
      <c r="DR300" s="3"/>
      <c r="DS300" s="3"/>
      <c r="DT300" s="3"/>
      <c r="DU300" s="3"/>
      <c r="DV300" s="3"/>
      <c r="DW300" s="3"/>
      <c r="DX300" s="3"/>
      <c r="DY300" s="3"/>
      <c r="DZ300" s="3"/>
      <c r="EA300" s="3"/>
      <c r="EB300" s="3"/>
      <c r="EC300" s="3"/>
      <c r="ED300" s="3"/>
      <c r="EE300" s="3"/>
      <c r="EF300" s="3"/>
      <c r="EG300" s="3"/>
      <c r="EH300" s="3"/>
      <c r="EI300" s="3"/>
      <c r="EJ300" s="3"/>
      <c r="EK300" s="3"/>
      <c r="EL300" s="3"/>
      <c r="EM300" s="3"/>
      <c r="EN300" s="3"/>
      <c r="EO300" s="3"/>
      <c r="EP300" s="3"/>
      <c r="EQ300" s="3"/>
      <c r="ER300" s="3"/>
      <c r="ES300" s="3"/>
      <c r="ET300" s="3"/>
      <c r="EU300" s="3"/>
      <c r="EV300" s="3"/>
      <c r="EW300" s="3"/>
      <c r="EX300" s="3"/>
      <c r="EY300" s="3"/>
      <c r="EZ300" s="3"/>
      <c r="FA300" s="3"/>
      <c r="FB300" s="3"/>
      <c r="FC300" s="3"/>
      <c r="FD300" s="3"/>
      <c r="FE300" s="3"/>
      <c r="FF300" s="3"/>
      <c r="FG300" s="3"/>
      <c r="FH300" s="3"/>
      <c r="FI300" s="3"/>
      <c r="FJ300" s="3"/>
      <c r="FK300" s="3"/>
      <c r="FL300" s="3"/>
      <c r="FM300" s="3"/>
      <c r="FN300" s="3"/>
      <c r="FO300" s="3"/>
      <c r="FP300" s="3"/>
      <c r="FQ300" s="3"/>
      <c r="FR300" s="3"/>
      <c r="FS300" s="3"/>
      <c r="FT300" s="3"/>
      <c r="FU300" s="3"/>
      <c r="FV300" s="3"/>
      <c r="FW300" s="3"/>
      <c r="FX300" s="3"/>
      <c r="FY300" s="3"/>
      <c r="FZ300" s="3"/>
      <c r="GA300" s="3"/>
      <c r="GB300" s="3"/>
      <c r="GC300" s="3"/>
      <c r="GD300" s="3"/>
      <c r="GE300" s="3"/>
      <c r="GF300" s="3"/>
      <c r="GG300" s="3"/>
      <c r="GH300" s="3"/>
      <c r="GI300" s="3"/>
      <c r="GJ300" s="3"/>
      <c r="GK300" s="3"/>
      <c r="GL300" s="3"/>
      <c r="GM300" s="3"/>
      <c r="GN300" s="3"/>
      <c r="GO300" s="3"/>
      <c r="GP300" s="3"/>
      <c r="GQ300" s="3"/>
      <c r="GR300" s="3"/>
      <c r="GS300" s="3"/>
      <c r="GT300" s="3"/>
      <c r="GU300" s="3"/>
      <c r="GV300" s="3"/>
      <c r="GW300" s="3"/>
      <c r="GX300" s="3">
        <v>0</v>
      </c>
    </row>
    <row r="302" spans="1:245" x14ac:dyDescent="0.2">
      <c r="A302" s="4">
        <v>50</v>
      </c>
      <c r="B302" s="4">
        <v>0</v>
      </c>
      <c r="C302" s="4">
        <v>0</v>
      </c>
      <c r="D302" s="4">
        <v>1</v>
      </c>
      <c r="E302" s="4">
        <v>201</v>
      </c>
      <c r="F302" s="4">
        <f>ROUND(Source!O300,O302)</f>
        <v>72381.27</v>
      </c>
      <c r="G302" s="4" t="s">
        <v>118</v>
      </c>
      <c r="H302" s="4" t="s">
        <v>119</v>
      </c>
      <c r="I302" s="4"/>
      <c r="J302" s="4"/>
      <c r="K302" s="4">
        <v>201</v>
      </c>
      <c r="L302" s="4">
        <v>1</v>
      </c>
      <c r="M302" s="4">
        <v>3</v>
      </c>
      <c r="N302" s="4" t="s">
        <v>6</v>
      </c>
      <c r="O302" s="4">
        <v>2</v>
      </c>
      <c r="P302" s="4"/>
      <c r="Q302" s="4"/>
      <c r="R302" s="4"/>
      <c r="S302" s="4"/>
      <c r="T302" s="4"/>
      <c r="U302" s="4"/>
      <c r="V302" s="4"/>
      <c r="W302" s="4"/>
    </row>
    <row r="303" spans="1:245" x14ac:dyDescent="0.2">
      <c r="A303" s="4">
        <v>50</v>
      </c>
      <c r="B303" s="4">
        <v>0</v>
      </c>
      <c r="C303" s="4">
        <v>0</v>
      </c>
      <c r="D303" s="4">
        <v>1</v>
      </c>
      <c r="E303" s="4">
        <v>202</v>
      </c>
      <c r="F303" s="4">
        <f>ROUND(Source!P300,O303)</f>
        <v>69288.759999999995</v>
      </c>
      <c r="G303" s="4" t="s">
        <v>120</v>
      </c>
      <c r="H303" s="4" t="s">
        <v>121</v>
      </c>
      <c r="I303" s="4"/>
      <c r="J303" s="4"/>
      <c r="K303" s="4">
        <v>202</v>
      </c>
      <c r="L303" s="4">
        <v>2</v>
      </c>
      <c r="M303" s="4">
        <v>3</v>
      </c>
      <c r="N303" s="4" t="s">
        <v>6</v>
      </c>
      <c r="O303" s="4">
        <v>2</v>
      </c>
      <c r="P303" s="4"/>
      <c r="Q303" s="4"/>
      <c r="R303" s="4"/>
      <c r="S303" s="4"/>
      <c r="T303" s="4"/>
      <c r="U303" s="4"/>
      <c r="V303" s="4"/>
      <c r="W303" s="4"/>
    </row>
    <row r="304" spans="1:245" x14ac:dyDescent="0.2">
      <c r="A304" s="4">
        <v>50</v>
      </c>
      <c r="B304" s="4">
        <v>0</v>
      </c>
      <c r="C304" s="4">
        <v>0</v>
      </c>
      <c r="D304" s="4">
        <v>1</v>
      </c>
      <c r="E304" s="4">
        <v>222</v>
      </c>
      <c r="F304" s="4">
        <f>ROUND(Source!AO300,O304)</f>
        <v>0</v>
      </c>
      <c r="G304" s="4" t="s">
        <v>122</v>
      </c>
      <c r="H304" s="4" t="s">
        <v>123</v>
      </c>
      <c r="I304" s="4"/>
      <c r="J304" s="4"/>
      <c r="K304" s="4">
        <v>222</v>
      </c>
      <c r="L304" s="4">
        <v>3</v>
      </c>
      <c r="M304" s="4">
        <v>3</v>
      </c>
      <c r="N304" s="4" t="s">
        <v>6</v>
      </c>
      <c r="O304" s="4">
        <v>2</v>
      </c>
      <c r="P304" s="4"/>
      <c r="Q304" s="4"/>
      <c r="R304" s="4"/>
      <c r="S304" s="4"/>
      <c r="T304" s="4"/>
      <c r="U304" s="4"/>
      <c r="V304" s="4"/>
      <c r="W304" s="4"/>
    </row>
    <row r="305" spans="1:23" x14ac:dyDescent="0.2">
      <c r="A305" s="4">
        <v>50</v>
      </c>
      <c r="B305" s="4">
        <v>0</v>
      </c>
      <c r="C305" s="4">
        <v>0</v>
      </c>
      <c r="D305" s="4">
        <v>1</v>
      </c>
      <c r="E305" s="4">
        <v>225</v>
      </c>
      <c r="F305" s="4">
        <f>ROUND(Source!AV300,O305)</f>
        <v>69288.759999999995</v>
      </c>
      <c r="G305" s="4" t="s">
        <v>124</v>
      </c>
      <c r="H305" s="4" t="s">
        <v>125</v>
      </c>
      <c r="I305" s="4"/>
      <c r="J305" s="4"/>
      <c r="K305" s="4">
        <v>225</v>
      </c>
      <c r="L305" s="4">
        <v>4</v>
      </c>
      <c r="M305" s="4">
        <v>3</v>
      </c>
      <c r="N305" s="4" t="s">
        <v>6</v>
      </c>
      <c r="O305" s="4">
        <v>2</v>
      </c>
      <c r="P305" s="4"/>
      <c r="Q305" s="4"/>
      <c r="R305" s="4"/>
      <c r="S305" s="4"/>
      <c r="T305" s="4"/>
      <c r="U305" s="4"/>
      <c r="V305" s="4"/>
      <c r="W305" s="4"/>
    </row>
    <row r="306" spans="1:23" x14ac:dyDescent="0.2">
      <c r="A306" s="4">
        <v>50</v>
      </c>
      <c r="B306" s="4">
        <v>0</v>
      </c>
      <c r="C306" s="4">
        <v>0</v>
      </c>
      <c r="D306" s="4">
        <v>1</v>
      </c>
      <c r="E306" s="4">
        <v>226</v>
      </c>
      <c r="F306" s="4">
        <f>ROUND(Source!AW300,O306)</f>
        <v>69288.759999999995</v>
      </c>
      <c r="G306" s="4" t="s">
        <v>126</v>
      </c>
      <c r="H306" s="4" t="s">
        <v>127</v>
      </c>
      <c r="I306" s="4"/>
      <c r="J306" s="4"/>
      <c r="K306" s="4">
        <v>226</v>
      </c>
      <c r="L306" s="4">
        <v>5</v>
      </c>
      <c r="M306" s="4">
        <v>3</v>
      </c>
      <c r="N306" s="4" t="s">
        <v>6</v>
      </c>
      <c r="O306" s="4">
        <v>2</v>
      </c>
      <c r="P306" s="4"/>
      <c r="Q306" s="4"/>
      <c r="R306" s="4"/>
      <c r="S306" s="4"/>
      <c r="T306" s="4"/>
      <c r="U306" s="4"/>
      <c r="V306" s="4"/>
      <c r="W306" s="4"/>
    </row>
    <row r="307" spans="1:23" x14ac:dyDescent="0.2">
      <c r="A307" s="4">
        <v>50</v>
      </c>
      <c r="B307" s="4">
        <v>0</v>
      </c>
      <c r="C307" s="4">
        <v>0</v>
      </c>
      <c r="D307" s="4">
        <v>1</v>
      </c>
      <c r="E307" s="4">
        <v>227</v>
      </c>
      <c r="F307" s="4">
        <f>ROUND(Source!AX300,O307)</f>
        <v>0</v>
      </c>
      <c r="G307" s="4" t="s">
        <v>128</v>
      </c>
      <c r="H307" s="4" t="s">
        <v>129</v>
      </c>
      <c r="I307" s="4"/>
      <c r="J307" s="4"/>
      <c r="K307" s="4">
        <v>227</v>
      </c>
      <c r="L307" s="4">
        <v>6</v>
      </c>
      <c r="M307" s="4">
        <v>3</v>
      </c>
      <c r="N307" s="4" t="s">
        <v>6</v>
      </c>
      <c r="O307" s="4">
        <v>2</v>
      </c>
      <c r="P307" s="4"/>
      <c r="Q307" s="4"/>
      <c r="R307" s="4"/>
      <c r="S307" s="4"/>
      <c r="T307" s="4"/>
      <c r="U307" s="4"/>
      <c r="V307" s="4"/>
      <c r="W307" s="4"/>
    </row>
    <row r="308" spans="1:23" x14ac:dyDescent="0.2">
      <c r="A308" s="4">
        <v>50</v>
      </c>
      <c r="B308" s="4">
        <v>0</v>
      </c>
      <c r="C308" s="4">
        <v>0</v>
      </c>
      <c r="D308" s="4">
        <v>1</v>
      </c>
      <c r="E308" s="4">
        <v>228</v>
      </c>
      <c r="F308" s="4">
        <f>ROUND(Source!AY300,O308)</f>
        <v>69288.759999999995</v>
      </c>
      <c r="G308" s="4" t="s">
        <v>130</v>
      </c>
      <c r="H308" s="4" t="s">
        <v>131</v>
      </c>
      <c r="I308" s="4"/>
      <c r="J308" s="4"/>
      <c r="K308" s="4">
        <v>228</v>
      </c>
      <c r="L308" s="4">
        <v>7</v>
      </c>
      <c r="M308" s="4">
        <v>3</v>
      </c>
      <c r="N308" s="4" t="s">
        <v>6</v>
      </c>
      <c r="O308" s="4">
        <v>2</v>
      </c>
      <c r="P308" s="4"/>
      <c r="Q308" s="4"/>
      <c r="R308" s="4"/>
      <c r="S308" s="4"/>
      <c r="T308" s="4"/>
      <c r="U308" s="4"/>
      <c r="V308" s="4"/>
      <c r="W308" s="4"/>
    </row>
    <row r="309" spans="1:23" x14ac:dyDescent="0.2">
      <c r="A309" s="4">
        <v>50</v>
      </c>
      <c r="B309" s="4">
        <v>0</v>
      </c>
      <c r="C309" s="4">
        <v>0</v>
      </c>
      <c r="D309" s="4">
        <v>1</v>
      </c>
      <c r="E309" s="4">
        <v>216</v>
      </c>
      <c r="F309" s="4">
        <f>ROUND(Source!AP300,O309)</f>
        <v>0</v>
      </c>
      <c r="G309" s="4" t="s">
        <v>132</v>
      </c>
      <c r="H309" s="4" t="s">
        <v>133</v>
      </c>
      <c r="I309" s="4"/>
      <c r="J309" s="4"/>
      <c r="K309" s="4">
        <v>216</v>
      </c>
      <c r="L309" s="4">
        <v>8</v>
      </c>
      <c r="M309" s="4">
        <v>3</v>
      </c>
      <c r="N309" s="4" t="s">
        <v>6</v>
      </c>
      <c r="O309" s="4">
        <v>2</v>
      </c>
      <c r="P309" s="4"/>
      <c r="Q309" s="4"/>
      <c r="R309" s="4"/>
      <c r="S309" s="4"/>
      <c r="T309" s="4"/>
      <c r="U309" s="4"/>
      <c r="V309" s="4"/>
      <c r="W309" s="4"/>
    </row>
    <row r="310" spans="1:23" x14ac:dyDescent="0.2">
      <c r="A310" s="4">
        <v>50</v>
      </c>
      <c r="B310" s="4">
        <v>0</v>
      </c>
      <c r="C310" s="4">
        <v>0</v>
      </c>
      <c r="D310" s="4">
        <v>1</v>
      </c>
      <c r="E310" s="4">
        <v>223</v>
      </c>
      <c r="F310" s="4">
        <f>ROUND(Source!AQ300,O310)</f>
        <v>0</v>
      </c>
      <c r="G310" s="4" t="s">
        <v>134</v>
      </c>
      <c r="H310" s="4" t="s">
        <v>135</v>
      </c>
      <c r="I310" s="4"/>
      <c r="J310" s="4"/>
      <c r="K310" s="4">
        <v>223</v>
      </c>
      <c r="L310" s="4">
        <v>9</v>
      </c>
      <c r="M310" s="4">
        <v>3</v>
      </c>
      <c r="N310" s="4" t="s">
        <v>6</v>
      </c>
      <c r="O310" s="4">
        <v>2</v>
      </c>
      <c r="P310" s="4"/>
      <c r="Q310" s="4"/>
      <c r="R310" s="4"/>
      <c r="S310" s="4"/>
      <c r="T310" s="4"/>
      <c r="U310" s="4"/>
      <c r="V310" s="4"/>
      <c r="W310" s="4"/>
    </row>
    <row r="311" spans="1:23" x14ac:dyDescent="0.2">
      <c r="A311" s="4">
        <v>50</v>
      </c>
      <c r="B311" s="4">
        <v>0</v>
      </c>
      <c r="C311" s="4">
        <v>0</v>
      </c>
      <c r="D311" s="4">
        <v>1</v>
      </c>
      <c r="E311" s="4">
        <v>229</v>
      </c>
      <c r="F311" s="4">
        <f>ROUND(Source!AZ300,O311)</f>
        <v>0</v>
      </c>
      <c r="G311" s="4" t="s">
        <v>136</v>
      </c>
      <c r="H311" s="4" t="s">
        <v>137</v>
      </c>
      <c r="I311" s="4"/>
      <c r="J311" s="4"/>
      <c r="K311" s="4">
        <v>229</v>
      </c>
      <c r="L311" s="4">
        <v>10</v>
      </c>
      <c r="M311" s="4">
        <v>3</v>
      </c>
      <c r="N311" s="4" t="s">
        <v>6</v>
      </c>
      <c r="O311" s="4">
        <v>2</v>
      </c>
      <c r="P311" s="4"/>
      <c r="Q311" s="4"/>
      <c r="R311" s="4"/>
      <c r="S311" s="4"/>
      <c r="T311" s="4"/>
      <c r="U311" s="4"/>
      <c r="V311" s="4"/>
      <c r="W311" s="4"/>
    </row>
    <row r="312" spans="1:23" x14ac:dyDescent="0.2">
      <c r="A312" s="4">
        <v>50</v>
      </c>
      <c r="B312" s="4">
        <v>0</v>
      </c>
      <c r="C312" s="4">
        <v>0</v>
      </c>
      <c r="D312" s="4">
        <v>1</v>
      </c>
      <c r="E312" s="4">
        <v>203</v>
      </c>
      <c r="F312" s="4">
        <f>ROUND(Source!Q300,O312)</f>
        <v>663.33</v>
      </c>
      <c r="G312" s="4" t="s">
        <v>138</v>
      </c>
      <c r="H312" s="4" t="s">
        <v>139</v>
      </c>
      <c r="I312" s="4"/>
      <c r="J312" s="4"/>
      <c r="K312" s="4">
        <v>203</v>
      </c>
      <c r="L312" s="4">
        <v>11</v>
      </c>
      <c r="M312" s="4">
        <v>3</v>
      </c>
      <c r="N312" s="4" t="s">
        <v>6</v>
      </c>
      <c r="O312" s="4">
        <v>2</v>
      </c>
      <c r="P312" s="4"/>
      <c r="Q312" s="4"/>
      <c r="R312" s="4"/>
      <c r="S312" s="4"/>
      <c r="T312" s="4"/>
      <c r="U312" s="4"/>
      <c r="V312" s="4"/>
      <c r="W312" s="4"/>
    </row>
    <row r="313" spans="1:23" x14ac:dyDescent="0.2">
      <c r="A313" s="4">
        <v>50</v>
      </c>
      <c r="B313" s="4">
        <v>0</v>
      </c>
      <c r="C313" s="4">
        <v>0</v>
      </c>
      <c r="D313" s="4">
        <v>1</v>
      </c>
      <c r="E313" s="4">
        <v>231</v>
      </c>
      <c r="F313" s="4">
        <f>ROUND(Source!BB300,O313)</f>
        <v>0</v>
      </c>
      <c r="G313" s="4" t="s">
        <v>140</v>
      </c>
      <c r="H313" s="4" t="s">
        <v>141</v>
      </c>
      <c r="I313" s="4"/>
      <c r="J313" s="4"/>
      <c r="K313" s="4">
        <v>231</v>
      </c>
      <c r="L313" s="4">
        <v>12</v>
      </c>
      <c r="M313" s="4">
        <v>3</v>
      </c>
      <c r="N313" s="4" t="s">
        <v>6</v>
      </c>
      <c r="O313" s="4">
        <v>2</v>
      </c>
      <c r="P313" s="4"/>
      <c r="Q313" s="4"/>
      <c r="R313" s="4"/>
      <c r="S313" s="4"/>
      <c r="T313" s="4"/>
      <c r="U313" s="4"/>
      <c r="V313" s="4"/>
      <c r="W313" s="4"/>
    </row>
    <row r="314" spans="1:23" x14ac:dyDescent="0.2">
      <c r="A314" s="4">
        <v>50</v>
      </c>
      <c r="B314" s="4">
        <v>0</v>
      </c>
      <c r="C314" s="4">
        <v>0</v>
      </c>
      <c r="D314" s="4">
        <v>1</v>
      </c>
      <c r="E314" s="4">
        <v>204</v>
      </c>
      <c r="F314" s="4">
        <f>ROUND(Source!R300,O314)</f>
        <v>11.93</v>
      </c>
      <c r="G314" s="4" t="s">
        <v>142</v>
      </c>
      <c r="H314" s="4" t="s">
        <v>143</v>
      </c>
      <c r="I314" s="4"/>
      <c r="J314" s="4"/>
      <c r="K314" s="4">
        <v>204</v>
      </c>
      <c r="L314" s="4">
        <v>13</v>
      </c>
      <c r="M314" s="4">
        <v>3</v>
      </c>
      <c r="N314" s="4" t="s">
        <v>6</v>
      </c>
      <c r="O314" s="4">
        <v>2</v>
      </c>
      <c r="P314" s="4"/>
      <c r="Q314" s="4"/>
      <c r="R314" s="4"/>
      <c r="S314" s="4"/>
      <c r="T314" s="4"/>
      <c r="U314" s="4"/>
      <c r="V314" s="4"/>
      <c r="W314" s="4"/>
    </row>
    <row r="315" spans="1:23" x14ac:dyDescent="0.2">
      <c r="A315" s="4">
        <v>50</v>
      </c>
      <c r="B315" s="4">
        <v>0</v>
      </c>
      <c r="C315" s="4">
        <v>0</v>
      </c>
      <c r="D315" s="4">
        <v>1</v>
      </c>
      <c r="E315" s="4">
        <v>205</v>
      </c>
      <c r="F315" s="4">
        <f>ROUND(Source!S300,O315)</f>
        <v>2429.1799999999998</v>
      </c>
      <c r="G315" s="4" t="s">
        <v>144</v>
      </c>
      <c r="H315" s="4" t="s">
        <v>145</v>
      </c>
      <c r="I315" s="4"/>
      <c r="J315" s="4"/>
      <c r="K315" s="4">
        <v>205</v>
      </c>
      <c r="L315" s="4">
        <v>14</v>
      </c>
      <c r="M315" s="4">
        <v>3</v>
      </c>
      <c r="N315" s="4" t="s">
        <v>6</v>
      </c>
      <c r="O315" s="4">
        <v>2</v>
      </c>
      <c r="P315" s="4"/>
      <c r="Q315" s="4"/>
      <c r="R315" s="4"/>
      <c r="S315" s="4"/>
      <c r="T315" s="4"/>
      <c r="U315" s="4"/>
      <c r="V315" s="4"/>
      <c r="W315" s="4"/>
    </row>
    <row r="316" spans="1:23" x14ac:dyDescent="0.2">
      <c r="A316" s="4">
        <v>50</v>
      </c>
      <c r="B316" s="4">
        <v>0</v>
      </c>
      <c r="C316" s="4">
        <v>0</v>
      </c>
      <c r="D316" s="4">
        <v>1</v>
      </c>
      <c r="E316" s="4">
        <v>232</v>
      </c>
      <c r="F316" s="4">
        <f>ROUND(Source!BC300,O316)</f>
        <v>0</v>
      </c>
      <c r="G316" s="4" t="s">
        <v>146</v>
      </c>
      <c r="H316" s="4" t="s">
        <v>147</v>
      </c>
      <c r="I316" s="4"/>
      <c r="J316" s="4"/>
      <c r="K316" s="4">
        <v>232</v>
      </c>
      <c r="L316" s="4">
        <v>15</v>
      </c>
      <c r="M316" s="4">
        <v>3</v>
      </c>
      <c r="N316" s="4" t="s">
        <v>6</v>
      </c>
      <c r="O316" s="4">
        <v>2</v>
      </c>
      <c r="P316" s="4"/>
      <c r="Q316" s="4"/>
      <c r="R316" s="4"/>
      <c r="S316" s="4"/>
      <c r="T316" s="4"/>
      <c r="U316" s="4"/>
      <c r="V316" s="4"/>
      <c r="W316" s="4"/>
    </row>
    <row r="317" spans="1:23" x14ac:dyDescent="0.2">
      <c r="A317" s="4">
        <v>50</v>
      </c>
      <c r="B317" s="4">
        <v>0</v>
      </c>
      <c r="C317" s="4">
        <v>0</v>
      </c>
      <c r="D317" s="4">
        <v>1</v>
      </c>
      <c r="E317" s="4">
        <v>214</v>
      </c>
      <c r="F317" s="4">
        <f>ROUND(Source!AS300,O317)</f>
        <v>22756.240000000002</v>
      </c>
      <c r="G317" s="4" t="s">
        <v>148</v>
      </c>
      <c r="H317" s="4" t="s">
        <v>149</v>
      </c>
      <c r="I317" s="4"/>
      <c r="J317" s="4"/>
      <c r="K317" s="4">
        <v>214</v>
      </c>
      <c r="L317" s="4">
        <v>16</v>
      </c>
      <c r="M317" s="4">
        <v>3</v>
      </c>
      <c r="N317" s="4" t="s">
        <v>6</v>
      </c>
      <c r="O317" s="4">
        <v>2</v>
      </c>
      <c r="P317" s="4"/>
      <c r="Q317" s="4"/>
      <c r="R317" s="4"/>
      <c r="S317" s="4"/>
      <c r="T317" s="4"/>
      <c r="U317" s="4"/>
      <c r="V317" s="4"/>
      <c r="W317" s="4"/>
    </row>
    <row r="318" spans="1:23" x14ac:dyDescent="0.2">
      <c r="A318" s="4">
        <v>50</v>
      </c>
      <c r="B318" s="4">
        <v>0</v>
      </c>
      <c r="C318" s="4">
        <v>0</v>
      </c>
      <c r="D318" s="4">
        <v>1</v>
      </c>
      <c r="E318" s="4">
        <v>215</v>
      </c>
      <c r="F318" s="4">
        <f>ROUND(Source!AT300,O318)</f>
        <v>54029.63</v>
      </c>
      <c r="G318" s="4" t="s">
        <v>150</v>
      </c>
      <c r="H318" s="4" t="s">
        <v>151</v>
      </c>
      <c r="I318" s="4"/>
      <c r="J318" s="4"/>
      <c r="K318" s="4">
        <v>215</v>
      </c>
      <c r="L318" s="4">
        <v>17</v>
      </c>
      <c r="M318" s="4">
        <v>3</v>
      </c>
      <c r="N318" s="4" t="s">
        <v>6</v>
      </c>
      <c r="O318" s="4">
        <v>2</v>
      </c>
      <c r="P318" s="4"/>
      <c r="Q318" s="4"/>
      <c r="R318" s="4"/>
      <c r="S318" s="4"/>
      <c r="T318" s="4"/>
      <c r="U318" s="4"/>
      <c r="V318" s="4"/>
      <c r="W318" s="4"/>
    </row>
    <row r="319" spans="1:23" x14ac:dyDescent="0.2">
      <c r="A319" s="4">
        <v>50</v>
      </c>
      <c r="B319" s="4">
        <v>0</v>
      </c>
      <c r="C319" s="4">
        <v>0</v>
      </c>
      <c r="D319" s="4">
        <v>1</v>
      </c>
      <c r="E319" s="4">
        <v>217</v>
      </c>
      <c r="F319" s="4">
        <f>ROUND(Source!AU300,O319)</f>
        <v>0</v>
      </c>
      <c r="G319" s="4" t="s">
        <v>152</v>
      </c>
      <c r="H319" s="4" t="s">
        <v>153</v>
      </c>
      <c r="I319" s="4"/>
      <c r="J319" s="4"/>
      <c r="K319" s="4">
        <v>217</v>
      </c>
      <c r="L319" s="4">
        <v>18</v>
      </c>
      <c r="M319" s="4">
        <v>3</v>
      </c>
      <c r="N319" s="4" t="s">
        <v>6</v>
      </c>
      <c r="O319" s="4">
        <v>2</v>
      </c>
      <c r="P319" s="4"/>
      <c r="Q319" s="4"/>
      <c r="R319" s="4"/>
      <c r="S319" s="4"/>
      <c r="T319" s="4"/>
      <c r="U319" s="4"/>
      <c r="V319" s="4"/>
      <c r="W319" s="4"/>
    </row>
    <row r="320" spans="1:23" x14ac:dyDescent="0.2">
      <c r="A320" s="4">
        <v>50</v>
      </c>
      <c r="B320" s="4">
        <v>0</v>
      </c>
      <c r="C320" s="4">
        <v>0</v>
      </c>
      <c r="D320" s="4">
        <v>1</v>
      </c>
      <c r="E320" s="4">
        <v>230</v>
      </c>
      <c r="F320" s="4">
        <f>ROUND(Source!BA300,O320)</f>
        <v>0</v>
      </c>
      <c r="G320" s="4" t="s">
        <v>154</v>
      </c>
      <c r="H320" s="4" t="s">
        <v>155</v>
      </c>
      <c r="I320" s="4"/>
      <c r="J320" s="4"/>
      <c r="K320" s="4">
        <v>230</v>
      </c>
      <c r="L320" s="4">
        <v>19</v>
      </c>
      <c r="M320" s="4">
        <v>3</v>
      </c>
      <c r="N320" s="4" t="s">
        <v>6</v>
      </c>
      <c r="O320" s="4">
        <v>2</v>
      </c>
      <c r="P320" s="4"/>
      <c r="Q320" s="4"/>
      <c r="R320" s="4"/>
      <c r="S320" s="4"/>
      <c r="T320" s="4"/>
      <c r="U320" s="4"/>
      <c r="V320" s="4"/>
      <c r="W320" s="4"/>
    </row>
    <row r="321" spans="1:206" x14ac:dyDescent="0.2">
      <c r="A321" s="4">
        <v>50</v>
      </c>
      <c r="B321" s="4">
        <v>0</v>
      </c>
      <c r="C321" s="4">
        <v>0</v>
      </c>
      <c r="D321" s="4">
        <v>1</v>
      </c>
      <c r="E321" s="4">
        <v>206</v>
      </c>
      <c r="F321" s="4">
        <f>ROUND(Source!T300,O321)</f>
        <v>0</v>
      </c>
      <c r="G321" s="4" t="s">
        <v>156</v>
      </c>
      <c r="H321" s="4" t="s">
        <v>157</v>
      </c>
      <c r="I321" s="4"/>
      <c r="J321" s="4"/>
      <c r="K321" s="4">
        <v>206</v>
      </c>
      <c r="L321" s="4">
        <v>20</v>
      </c>
      <c r="M321" s="4">
        <v>3</v>
      </c>
      <c r="N321" s="4" t="s">
        <v>6</v>
      </c>
      <c r="O321" s="4">
        <v>2</v>
      </c>
      <c r="P321" s="4"/>
      <c r="Q321" s="4"/>
      <c r="R321" s="4"/>
      <c r="S321" s="4"/>
      <c r="T321" s="4"/>
      <c r="U321" s="4"/>
      <c r="V321" s="4"/>
      <c r="W321" s="4"/>
    </row>
    <row r="322" spans="1:206" x14ac:dyDescent="0.2">
      <c r="A322" s="4">
        <v>50</v>
      </c>
      <c r="B322" s="4">
        <v>0</v>
      </c>
      <c r="C322" s="4">
        <v>0</v>
      </c>
      <c r="D322" s="4">
        <v>1</v>
      </c>
      <c r="E322" s="4">
        <v>207</v>
      </c>
      <c r="F322" s="4">
        <f>Source!U300</f>
        <v>37.825200000000002</v>
      </c>
      <c r="G322" s="4" t="s">
        <v>158</v>
      </c>
      <c r="H322" s="4" t="s">
        <v>159</v>
      </c>
      <c r="I322" s="4"/>
      <c r="J322" s="4"/>
      <c r="K322" s="4">
        <v>207</v>
      </c>
      <c r="L322" s="4">
        <v>21</v>
      </c>
      <c r="M322" s="4">
        <v>3</v>
      </c>
      <c r="N322" s="4" t="s">
        <v>6</v>
      </c>
      <c r="O322" s="4">
        <v>-1</v>
      </c>
      <c r="P322" s="4"/>
      <c r="Q322" s="4"/>
      <c r="R322" s="4"/>
      <c r="S322" s="4"/>
      <c r="T322" s="4"/>
      <c r="U322" s="4"/>
      <c r="V322" s="4"/>
      <c r="W322" s="4"/>
    </row>
    <row r="323" spans="1:206" x14ac:dyDescent="0.2">
      <c r="A323" s="4">
        <v>50</v>
      </c>
      <c r="B323" s="4">
        <v>0</v>
      </c>
      <c r="C323" s="4">
        <v>0</v>
      </c>
      <c r="D323" s="4">
        <v>1</v>
      </c>
      <c r="E323" s="4">
        <v>208</v>
      </c>
      <c r="F323" s="4">
        <f>Source!V300</f>
        <v>0.14904000000000001</v>
      </c>
      <c r="G323" s="4" t="s">
        <v>160</v>
      </c>
      <c r="H323" s="4" t="s">
        <v>161</v>
      </c>
      <c r="I323" s="4"/>
      <c r="J323" s="4"/>
      <c r="K323" s="4">
        <v>208</v>
      </c>
      <c r="L323" s="4">
        <v>22</v>
      </c>
      <c r="M323" s="4">
        <v>3</v>
      </c>
      <c r="N323" s="4" t="s">
        <v>6</v>
      </c>
      <c r="O323" s="4">
        <v>-1</v>
      </c>
      <c r="P323" s="4"/>
      <c r="Q323" s="4"/>
      <c r="R323" s="4"/>
      <c r="S323" s="4"/>
      <c r="T323" s="4"/>
      <c r="U323" s="4"/>
      <c r="V323" s="4"/>
      <c r="W323" s="4"/>
    </row>
    <row r="324" spans="1:206" x14ac:dyDescent="0.2">
      <c r="A324" s="4">
        <v>50</v>
      </c>
      <c r="B324" s="4">
        <v>0</v>
      </c>
      <c r="C324" s="4">
        <v>0</v>
      </c>
      <c r="D324" s="4">
        <v>1</v>
      </c>
      <c r="E324" s="4">
        <v>209</v>
      </c>
      <c r="F324" s="4">
        <f>ROUND(Source!W300,O324)</f>
        <v>0</v>
      </c>
      <c r="G324" s="4" t="s">
        <v>162</v>
      </c>
      <c r="H324" s="4" t="s">
        <v>163</v>
      </c>
      <c r="I324" s="4"/>
      <c r="J324" s="4"/>
      <c r="K324" s="4">
        <v>209</v>
      </c>
      <c r="L324" s="4">
        <v>23</v>
      </c>
      <c r="M324" s="4">
        <v>3</v>
      </c>
      <c r="N324" s="4" t="s">
        <v>6</v>
      </c>
      <c r="O324" s="4">
        <v>2</v>
      </c>
      <c r="P324" s="4"/>
      <c r="Q324" s="4"/>
      <c r="R324" s="4"/>
      <c r="S324" s="4"/>
      <c r="T324" s="4"/>
      <c r="U324" s="4"/>
      <c r="V324" s="4"/>
      <c r="W324" s="4"/>
    </row>
    <row r="325" spans="1:206" x14ac:dyDescent="0.2">
      <c r="A325" s="4">
        <v>50</v>
      </c>
      <c r="B325" s="4">
        <v>0</v>
      </c>
      <c r="C325" s="4">
        <v>0</v>
      </c>
      <c r="D325" s="4">
        <v>1</v>
      </c>
      <c r="E325" s="4">
        <v>210</v>
      </c>
      <c r="F325" s="4">
        <f>ROUND(Source!X300,O325)</f>
        <v>2702.76</v>
      </c>
      <c r="G325" s="4" t="s">
        <v>164</v>
      </c>
      <c r="H325" s="4" t="s">
        <v>165</v>
      </c>
      <c r="I325" s="4"/>
      <c r="J325" s="4"/>
      <c r="K325" s="4">
        <v>210</v>
      </c>
      <c r="L325" s="4">
        <v>24</v>
      </c>
      <c r="M325" s="4">
        <v>3</v>
      </c>
      <c r="N325" s="4" t="s">
        <v>6</v>
      </c>
      <c r="O325" s="4">
        <v>2</v>
      </c>
      <c r="P325" s="4"/>
      <c r="Q325" s="4"/>
      <c r="R325" s="4"/>
      <c r="S325" s="4"/>
      <c r="T325" s="4"/>
      <c r="U325" s="4"/>
      <c r="V325" s="4"/>
      <c r="W325" s="4"/>
    </row>
    <row r="326" spans="1:206" x14ac:dyDescent="0.2">
      <c r="A326" s="4">
        <v>50</v>
      </c>
      <c r="B326" s="4">
        <v>0</v>
      </c>
      <c r="C326" s="4">
        <v>0</v>
      </c>
      <c r="D326" s="4">
        <v>1</v>
      </c>
      <c r="E326" s="4">
        <v>211</v>
      </c>
      <c r="F326" s="4">
        <f>ROUND(Source!Y300,O326)</f>
        <v>1701.84</v>
      </c>
      <c r="G326" s="4" t="s">
        <v>166</v>
      </c>
      <c r="H326" s="4" t="s">
        <v>167</v>
      </c>
      <c r="I326" s="4"/>
      <c r="J326" s="4"/>
      <c r="K326" s="4">
        <v>211</v>
      </c>
      <c r="L326" s="4">
        <v>25</v>
      </c>
      <c r="M326" s="4">
        <v>3</v>
      </c>
      <c r="N326" s="4" t="s">
        <v>6</v>
      </c>
      <c r="O326" s="4">
        <v>2</v>
      </c>
      <c r="P326" s="4"/>
      <c r="Q326" s="4"/>
      <c r="R326" s="4"/>
      <c r="S326" s="4"/>
      <c r="T326" s="4"/>
      <c r="U326" s="4"/>
      <c r="V326" s="4"/>
      <c r="W326" s="4"/>
    </row>
    <row r="327" spans="1:206" x14ac:dyDescent="0.2">
      <c r="A327" s="4">
        <v>50</v>
      </c>
      <c r="B327" s="4">
        <v>0</v>
      </c>
      <c r="C327" s="4">
        <v>0</v>
      </c>
      <c r="D327" s="4">
        <v>1</v>
      </c>
      <c r="E327" s="4">
        <v>224</v>
      </c>
      <c r="F327" s="4">
        <f>ROUND(Source!AR300,O327)</f>
        <v>76785.87</v>
      </c>
      <c r="G327" s="4" t="s">
        <v>168</v>
      </c>
      <c r="H327" s="4" t="s">
        <v>169</v>
      </c>
      <c r="I327" s="4"/>
      <c r="J327" s="4"/>
      <c r="K327" s="4">
        <v>224</v>
      </c>
      <c r="L327" s="4">
        <v>26</v>
      </c>
      <c r="M327" s="4">
        <v>3</v>
      </c>
      <c r="N327" s="4" t="s">
        <v>6</v>
      </c>
      <c r="O327" s="4">
        <v>2</v>
      </c>
      <c r="P327" s="4"/>
      <c r="Q327" s="4"/>
      <c r="R327" s="4"/>
      <c r="S327" s="4"/>
      <c r="T327" s="4"/>
      <c r="U327" s="4"/>
      <c r="V327" s="4"/>
      <c r="W327" s="4"/>
    </row>
    <row r="329" spans="1:206" x14ac:dyDescent="0.2">
      <c r="A329" s="2">
        <v>51</v>
      </c>
      <c r="B329" s="2">
        <f>B20</f>
        <v>1</v>
      </c>
      <c r="C329" s="2">
        <f>A20</f>
        <v>3</v>
      </c>
      <c r="D329" s="2">
        <f>ROW(A20)</f>
        <v>20</v>
      </c>
      <c r="E329" s="2"/>
      <c r="F329" s="2" t="str">
        <f>IF(F20&lt;&gt;"",F20,"")</f>
        <v>Новая локальная смета</v>
      </c>
      <c r="G329" s="2" t="str">
        <f>IF(G20&lt;&gt;"",G20,"")</f>
        <v>Новая локальная смета</v>
      </c>
      <c r="H329" s="2">
        <v>0</v>
      </c>
      <c r="I329" s="2"/>
      <c r="J329" s="2"/>
      <c r="K329" s="2"/>
      <c r="L329" s="2"/>
      <c r="M329" s="2"/>
      <c r="N329" s="2"/>
      <c r="O329" s="2">
        <f t="shared" ref="O329:T329" si="308">ROUND(O46+O152+O215+O252+O300+AB329,2)</f>
        <v>1006235.74</v>
      </c>
      <c r="P329" s="2">
        <f t="shared" si="308"/>
        <v>902976.05</v>
      </c>
      <c r="Q329" s="2">
        <f t="shared" si="308"/>
        <v>6775.09</v>
      </c>
      <c r="R329" s="2">
        <f t="shared" si="308"/>
        <v>1463.02</v>
      </c>
      <c r="S329" s="2">
        <f t="shared" si="308"/>
        <v>96484.6</v>
      </c>
      <c r="T329" s="2">
        <f t="shared" si="308"/>
        <v>0</v>
      </c>
      <c r="U329" s="2">
        <f>U46+U152+U215+U252+U300+AH329</f>
        <v>1332.7117816999998</v>
      </c>
      <c r="V329" s="2">
        <f>V46+V152+V215+V252+V300+AI329</f>
        <v>17.025969</v>
      </c>
      <c r="W329" s="2">
        <f>ROUND(W46+W152+W215+W252+W300+AJ329,2)</f>
        <v>0</v>
      </c>
      <c r="X329" s="2">
        <f>ROUND(X46+X152+X215+X252+X300+AK329,2)</f>
        <v>86927.03</v>
      </c>
      <c r="Y329" s="2">
        <f>ROUND(Y46+Y152+Y215+Y252+Y300+AL329,2)</f>
        <v>54704.55</v>
      </c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>
        <f t="shared" ref="AO329:BC329" si="309">ROUND(AO46+AO152+AO215+AO252+AO300+BX329,2)</f>
        <v>0</v>
      </c>
      <c r="AP329" s="2">
        <f t="shared" si="309"/>
        <v>0</v>
      </c>
      <c r="AQ329" s="2">
        <f t="shared" si="309"/>
        <v>0</v>
      </c>
      <c r="AR329" s="2">
        <f t="shared" si="309"/>
        <v>1148672.32</v>
      </c>
      <c r="AS329" s="2">
        <f t="shared" si="309"/>
        <v>760508.39</v>
      </c>
      <c r="AT329" s="2">
        <f t="shared" si="309"/>
        <v>341920.95</v>
      </c>
      <c r="AU329" s="2">
        <f t="shared" si="309"/>
        <v>46242.98</v>
      </c>
      <c r="AV329" s="2">
        <f t="shared" si="309"/>
        <v>902976.05</v>
      </c>
      <c r="AW329" s="2">
        <f t="shared" si="309"/>
        <v>902976.05</v>
      </c>
      <c r="AX329" s="2">
        <f t="shared" si="309"/>
        <v>0</v>
      </c>
      <c r="AY329" s="2">
        <f t="shared" si="309"/>
        <v>902976.05</v>
      </c>
      <c r="AZ329" s="2">
        <f t="shared" si="309"/>
        <v>0</v>
      </c>
      <c r="BA329" s="2">
        <f t="shared" si="309"/>
        <v>0</v>
      </c>
      <c r="BB329" s="2">
        <f t="shared" si="309"/>
        <v>0</v>
      </c>
      <c r="BC329" s="2">
        <f t="shared" si="309"/>
        <v>0</v>
      </c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3"/>
      <c r="DH329" s="3"/>
      <c r="DI329" s="3"/>
      <c r="DJ329" s="3"/>
      <c r="DK329" s="3"/>
      <c r="DL329" s="3"/>
      <c r="DM329" s="3"/>
      <c r="DN329" s="3"/>
      <c r="DO329" s="3"/>
      <c r="DP329" s="3"/>
      <c r="DQ329" s="3"/>
      <c r="DR329" s="3"/>
      <c r="DS329" s="3"/>
      <c r="DT329" s="3"/>
      <c r="DU329" s="3"/>
      <c r="DV329" s="3"/>
      <c r="DW329" s="3"/>
      <c r="DX329" s="3"/>
      <c r="DY329" s="3"/>
      <c r="DZ329" s="3"/>
      <c r="EA329" s="3"/>
      <c r="EB329" s="3"/>
      <c r="EC329" s="3"/>
      <c r="ED329" s="3"/>
      <c r="EE329" s="3"/>
      <c r="EF329" s="3"/>
      <c r="EG329" s="3"/>
      <c r="EH329" s="3"/>
      <c r="EI329" s="3"/>
      <c r="EJ329" s="3"/>
      <c r="EK329" s="3"/>
      <c r="EL329" s="3"/>
      <c r="EM329" s="3"/>
      <c r="EN329" s="3"/>
      <c r="EO329" s="3"/>
      <c r="EP329" s="3"/>
      <c r="EQ329" s="3"/>
      <c r="ER329" s="3"/>
      <c r="ES329" s="3"/>
      <c r="ET329" s="3"/>
      <c r="EU329" s="3"/>
      <c r="EV329" s="3"/>
      <c r="EW329" s="3"/>
      <c r="EX329" s="3"/>
      <c r="EY329" s="3"/>
      <c r="EZ329" s="3"/>
      <c r="FA329" s="3"/>
      <c r="FB329" s="3"/>
      <c r="FC329" s="3"/>
      <c r="FD329" s="3"/>
      <c r="FE329" s="3"/>
      <c r="FF329" s="3"/>
      <c r="FG329" s="3"/>
      <c r="FH329" s="3"/>
      <c r="FI329" s="3"/>
      <c r="FJ329" s="3"/>
      <c r="FK329" s="3"/>
      <c r="FL329" s="3"/>
      <c r="FM329" s="3"/>
      <c r="FN329" s="3"/>
      <c r="FO329" s="3"/>
      <c r="FP329" s="3"/>
      <c r="FQ329" s="3"/>
      <c r="FR329" s="3"/>
      <c r="FS329" s="3"/>
      <c r="FT329" s="3"/>
      <c r="FU329" s="3"/>
      <c r="FV329" s="3"/>
      <c r="FW329" s="3"/>
      <c r="FX329" s="3"/>
      <c r="FY329" s="3"/>
      <c r="FZ329" s="3"/>
      <c r="GA329" s="3"/>
      <c r="GB329" s="3"/>
      <c r="GC329" s="3"/>
      <c r="GD329" s="3"/>
      <c r="GE329" s="3"/>
      <c r="GF329" s="3"/>
      <c r="GG329" s="3"/>
      <c r="GH329" s="3"/>
      <c r="GI329" s="3"/>
      <c r="GJ329" s="3"/>
      <c r="GK329" s="3"/>
      <c r="GL329" s="3"/>
      <c r="GM329" s="3"/>
      <c r="GN329" s="3"/>
      <c r="GO329" s="3"/>
      <c r="GP329" s="3"/>
      <c r="GQ329" s="3"/>
      <c r="GR329" s="3"/>
      <c r="GS329" s="3"/>
      <c r="GT329" s="3"/>
      <c r="GU329" s="3"/>
      <c r="GV329" s="3"/>
      <c r="GW329" s="3"/>
      <c r="GX329" s="3">
        <v>0</v>
      </c>
    </row>
    <row r="331" spans="1:206" x14ac:dyDescent="0.2">
      <c r="A331" s="4">
        <v>50</v>
      </c>
      <c r="B331" s="4">
        <v>0</v>
      </c>
      <c r="C331" s="4">
        <v>0</v>
      </c>
      <c r="D331" s="4">
        <v>1</v>
      </c>
      <c r="E331" s="4">
        <v>201</v>
      </c>
      <c r="F331" s="4">
        <f>ROUND(Source!O329,O331)</f>
        <v>1006235.74</v>
      </c>
      <c r="G331" s="4" t="s">
        <v>118</v>
      </c>
      <c r="H331" s="4" t="s">
        <v>119</v>
      </c>
      <c r="I331" s="4"/>
      <c r="J331" s="4"/>
      <c r="K331" s="4">
        <v>201</v>
      </c>
      <c r="L331" s="4">
        <v>1</v>
      </c>
      <c r="M331" s="4">
        <v>3</v>
      </c>
      <c r="N331" s="4" t="s">
        <v>6</v>
      </c>
      <c r="O331" s="4">
        <v>2</v>
      </c>
      <c r="P331" s="4"/>
      <c r="Q331" s="4"/>
      <c r="R331" s="4"/>
      <c r="S331" s="4"/>
      <c r="T331" s="4"/>
      <c r="U331" s="4"/>
      <c r="V331" s="4"/>
      <c r="W331" s="4"/>
    </row>
    <row r="332" spans="1:206" x14ac:dyDescent="0.2">
      <c r="A332" s="4">
        <v>50</v>
      </c>
      <c r="B332" s="4">
        <v>0</v>
      </c>
      <c r="C332" s="4">
        <v>0</v>
      </c>
      <c r="D332" s="4">
        <v>1</v>
      </c>
      <c r="E332" s="4">
        <v>202</v>
      </c>
      <c r="F332" s="4">
        <f>ROUND(Source!P329,O332)</f>
        <v>902976.05</v>
      </c>
      <c r="G332" s="4" t="s">
        <v>120</v>
      </c>
      <c r="H332" s="4" t="s">
        <v>121</v>
      </c>
      <c r="I332" s="4"/>
      <c r="J332" s="4"/>
      <c r="K332" s="4">
        <v>202</v>
      </c>
      <c r="L332" s="4">
        <v>2</v>
      </c>
      <c r="M332" s="4">
        <v>3</v>
      </c>
      <c r="N332" s="4" t="s">
        <v>6</v>
      </c>
      <c r="O332" s="4">
        <v>2</v>
      </c>
      <c r="P332" s="4"/>
      <c r="Q332" s="4"/>
      <c r="R332" s="4"/>
      <c r="S332" s="4"/>
      <c r="T332" s="4"/>
      <c r="U332" s="4"/>
      <c r="V332" s="4"/>
      <c r="W332" s="4"/>
    </row>
    <row r="333" spans="1:206" x14ac:dyDescent="0.2">
      <c r="A333" s="4">
        <v>50</v>
      </c>
      <c r="B333" s="4">
        <v>0</v>
      </c>
      <c r="C333" s="4">
        <v>0</v>
      </c>
      <c r="D333" s="4">
        <v>1</v>
      </c>
      <c r="E333" s="4">
        <v>222</v>
      </c>
      <c r="F333" s="4">
        <f>ROUND(Source!AO329,O333)</f>
        <v>0</v>
      </c>
      <c r="G333" s="4" t="s">
        <v>122</v>
      </c>
      <c r="H333" s="4" t="s">
        <v>123</v>
      </c>
      <c r="I333" s="4"/>
      <c r="J333" s="4"/>
      <c r="K333" s="4">
        <v>222</v>
      </c>
      <c r="L333" s="4">
        <v>3</v>
      </c>
      <c r="M333" s="4">
        <v>3</v>
      </c>
      <c r="N333" s="4" t="s">
        <v>6</v>
      </c>
      <c r="O333" s="4">
        <v>2</v>
      </c>
      <c r="P333" s="4"/>
      <c r="Q333" s="4"/>
      <c r="R333" s="4"/>
      <c r="S333" s="4"/>
      <c r="T333" s="4"/>
      <c r="U333" s="4"/>
      <c r="V333" s="4"/>
      <c r="W333" s="4"/>
    </row>
    <row r="334" spans="1:206" x14ac:dyDescent="0.2">
      <c r="A334" s="4">
        <v>50</v>
      </c>
      <c r="B334" s="4">
        <v>0</v>
      </c>
      <c r="C334" s="4">
        <v>0</v>
      </c>
      <c r="D334" s="4">
        <v>1</v>
      </c>
      <c r="E334" s="4">
        <v>225</v>
      </c>
      <c r="F334" s="4">
        <f>ROUND(Source!AV329,O334)</f>
        <v>902976.05</v>
      </c>
      <c r="G334" s="4" t="s">
        <v>124</v>
      </c>
      <c r="H334" s="4" t="s">
        <v>125</v>
      </c>
      <c r="I334" s="4"/>
      <c r="J334" s="4"/>
      <c r="K334" s="4">
        <v>225</v>
      </c>
      <c r="L334" s="4">
        <v>4</v>
      </c>
      <c r="M334" s="4">
        <v>3</v>
      </c>
      <c r="N334" s="4" t="s">
        <v>6</v>
      </c>
      <c r="O334" s="4">
        <v>2</v>
      </c>
      <c r="P334" s="4"/>
      <c r="Q334" s="4"/>
      <c r="R334" s="4"/>
      <c r="S334" s="4"/>
      <c r="T334" s="4"/>
      <c r="U334" s="4"/>
      <c r="V334" s="4"/>
      <c r="W334" s="4"/>
    </row>
    <row r="335" spans="1:206" x14ac:dyDescent="0.2">
      <c r="A335" s="4">
        <v>50</v>
      </c>
      <c r="B335" s="4">
        <v>0</v>
      </c>
      <c r="C335" s="4">
        <v>0</v>
      </c>
      <c r="D335" s="4">
        <v>1</v>
      </c>
      <c r="E335" s="4">
        <v>226</v>
      </c>
      <c r="F335" s="4">
        <f>ROUND(Source!AW329,O335)</f>
        <v>902976.05</v>
      </c>
      <c r="G335" s="4" t="s">
        <v>126</v>
      </c>
      <c r="H335" s="4" t="s">
        <v>127</v>
      </c>
      <c r="I335" s="4"/>
      <c r="J335" s="4"/>
      <c r="K335" s="4">
        <v>226</v>
      </c>
      <c r="L335" s="4">
        <v>5</v>
      </c>
      <c r="M335" s="4">
        <v>3</v>
      </c>
      <c r="N335" s="4" t="s">
        <v>6</v>
      </c>
      <c r="O335" s="4">
        <v>2</v>
      </c>
      <c r="P335" s="4"/>
      <c r="Q335" s="4"/>
      <c r="R335" s="4"/>
      <c r="S335" s="4"/>
      <c r="T335" s="4"/>
      <c r="U335" s="4"/>
      <c r="V335" s="4"/>
      <c r="W335" s="4"/>
    </row>
    <row r="336" spans="1:206" x14ac:dyDescent="0.2">
      <c r="A336" s="4">
        <v>50</v>
      </c>
      <c r="B336" s="4">
        <v>0</v>
      </c>
      <c r="C336" s="4">
        <v>0</v>
      </c>
      <c r="D336" s="4">
        <v>1</v>
      </c>
      <c r="E336" s="4">
        <v>227</v>
      </c>
      <c r="F336" s="4">
        <f>ROUND(Source!AX329,O336)</f>
        <v>0</v>
      </c>
      <c r="G336" s="4" t="s">
        <v>128</v>
      </c>
      <c r="H336" s="4" t="s">
        <v>129</v>
      </c>
      <c r="I336" s="4"/>
      <c r="J336" s="4"/>
      <c r="K336" s="4">
        <v>227</v>
      </c>
      <c r="L336" s="4">
        <v>6</v>
      </c>
      <c r="M336" s="4">
        <v>3</v>
      </c>
      <c r="N336" s="4" t="s">
        <v>6</v>
      </c>
      <c r="O336" s="4">
        <v>2</v>
      </c>
      <c r="P336" s="4"/>
      <c r="Q336" s="4"/>
      <c r="R336" s="4"/>
      <c r="S336" s="4"/>
      <c r="T336" s="4"/>
      <c r="U336" s="4"/>
      <c r="V336" s="4"/>
      <c r="W336" s="4"/>
    </row>
    <row r="337" spans="1:23" x14ac:dyDescent="0.2">
      <c r="A337" s="4">
        <v>50</v>
      </c>
      <c r="B337" s="4">
        <v>0</v>
      </c>
      <c r="C337" s="4">
        <v>0</v>
      </c>
      <c r="D337" s="4">
        <v>1</v>
      </c>
      <c r="E337" s="4">
        <v>228</v>
      </c>
      <c r="F337" s="4">
        <f>ROUND(Source!AY329,O337)</f>
        <v>902976.05</v>
      </c>
      <c r="G337" s="4" t="s">
        <v>130</v>
      </c>
      <c r="H337" s="4" t="s">
        <v>131</v>
      </c>
      <c r="I337" s="4"/>
      <c r="J337" s="4"/>
      <c r="K337" s="4">
        <v>228</v>
      </c>
      <c r="L337" s="4">
        <v>7</v>
      </c>
      <c r="M337" s="4">
        <v>3</v>
      </c>
      <c r="N337" s="4" t="s">
        <v>6</v>
      </c>
      <c r="O337" s="4">
        <v>2</v>
      </c>
      <c r="P337" s="4"/>
      <c r="Q337" s="4"/>
      <c r="R337" s="4"/>
      <c r="S337" s="4"/>
      <c r="T337" s="4"/>
      <c r="U337" s="4"/>
      <c r="V337" s="4"/>
      <c r="W337" s="4"/>
    </row>
    <row r="338" spans="1:23" x14ac:dyDescent="0.2">
      <c r="A338" s="4">
        <v>50</v>
      </c>
      <c r="B338" s="4">
        <v>0</v>
      </c>
      <c r="C338" s="4">
        <v>0</v>
      </c>
      <c r="D338" s="4">
        <v>1</v>
      </c>
      <c r="E338" s="4">
        <v>216</v>
      </c>
      <c r="F338" s="4">
        <f>ROUND(Source!AP329,O338)</f>
        <v>0</v>
      </c>
      <c r="G338" s="4" t="s">
        <v>132</v>
      </c>
      <c r="H338" s="4" t="s">
        <v>133</v>
      </c>
      <c r="I338" s="4"/>
      <c r="J338" s="4"/>
      <c r="K338" s="4">
        <v>216</v>
      </c>
      <c r="L338" s="4">
        <v>8</v>
      </c>
      <c r="M338" s="4">
        <v>3</v>
      </c>
      <c r="N338" s="4" t="s">
        <v>6</v>
      </c>
      <c r="O338" s="4">
        <v>2</v>
      </c>
      <c r="P338" s="4"/>
      <c r="Q338" s="4"/>
      <c r="R338" s="4"/>
      <c r="S338" s="4"/>
      <c r="T338" s="4"/>
      <c r="U338" s="4"/>
      <c r="V338" s="4"/>
      <c r="W338" s="4"/>
    </row>
    <row r="339" spans="1:23" x14ac:dyDescent="0.2">
      <c r="A339" s="4">
        <v>50</v>
      </c>
      <c r="B339" s="4">
        <v>0</v>
      </c>
      <c r="C339" s="4">
        <v>0</v>
      </c>
      <c r="D339" s="4">
        <v>1</v>
      </c>
      <c r="E339" s="4">
        <v>223</v>
      </c>
      <c r="F339" s="4">
        <f>ROUND(Source!AQ329,O339)</f>
        <v>0</v>
      </c>
      <c r="G339" s="4" t="s">
        <v>134</v>
      </c>
      <c r="H339" s="4" t="s">
        <v>135</v>
      </c>
      <c r="I339" s="4"/>
      <c r="J339" s="4"/>
      <c r="K339" s="4">
        <v>223</v>
      </c>
      <c r="L339" s="4">
        <v>9</v>
      </c>
      <c r="M339" s="4">
        <v>3</v>
      </c>
      <c r="N339" s="4" t="s">
        <v>6</v>
      </c>
      <c r="O339" s="4">
        <v>2</v>
      </c>
      <c r="P339" s="4"/>
      <c r="Q339" s="4"/>
      <c r="R339" s="4"/>
      <c r="S339" s="4"/>
      <c r="T339" s="4"/>
      <c r="U339" s="4"/>
      <c r="V339" s="4"/>
      <c r="W339" s="4"/>
    </row>
    <row r="340" spans="1:23" x14ac:dyDescent="0.2">
      <c r="A340" s="4">
        <v>50</v>
      </c>
      <c r="B340" s="4">
        <v>0</v>
      </c>
      <c r="C340" s="4">
        <v>0</v>
      </c>
      <c r="D340" s="4">
        <v>1</v>
      </c>
      <c r="E340" s="4">
        <v>229</v>
      </c>
      <c r="F340" s="4">
        <f>ROUND(Source!AZ329,O340)</f>
        <v>0</v>
      </c>
      <c r="G340" s="4" t="s">
        <v>136</v>
      </c>
      <c r="H340" s="4" t="s">
        <v>137</v>
      </c>
      <c r="I340" s="4"/>
      <c r="J340" s="4"/>
      <c r="K340" s="4">
        <v>229</v>
      </c>
      <c r="L340" s="4">
        <v>10</v>
      </c>
      <c r="M340" s="4">
        <v>3</v>
      </c>
      <c r="N340" s="4" t="s">
        <v>6</v>
      </c>
      <c r="O340" s="4">
        <v>2</v>
      </c>
      <c r="P340" s="4"/>
      <c r="Q340" s="4"/>
      <c r="R340" s="4"/>
      <c r="S340" s="4"/>
      <c r="T340" s="4"/>
      <c r="U340" s="4"/>
      <c r="V340" s="4"/>
      <c r="W340" s="4"/>
    </row>
    <row r="341" spans="1:23" x14ac:dyDescent="0.2">
      <c r="A341" s="4">
        <v>50</v>
      </c>
      <c r="B341" s="4">
        <v>0</v>
      </c>
      <c r="C341" s="4">
        <v>0</v>
      </c>
      <c r="D341" s="4">
        <v>1</v>
      </c>
      <c r="E341" s="4">
        <v>203</v>
      </c>
      <c r="F341" s="4">
        <f>ROUND(Source!Q329,O341)</f>
        <v>6775.09</v>
      </c>
      <c r="G341" s="4" t="s">
        <v>138</v>
      </c>
      <c r="H341" s="4" t="s">
        <v>139</v>
      </c>
      <c r="I341" s="4"/>
      <c r="J341" s="4"/>
      <c r="K341" s="4">
        <v>203</v>
      </c>
      <c r="L341" s="4">
        <v>11</v>
      </c>
      <c r="M341" s="4">
        <v>3</v>
      </c>
      <c r="N341" s="4" t="s">
        <v>6</v>
      </c>
      <c r="O341" s="4">
        <v>2</v>
      </c>
      <c r="P341" s="4"/>
      <c r="Q341" s="4"/>
      <c r="R341" s="4"/>
      <c r="S341" s="4"/>
      <c r="T341" s="4"/>
      <c r="U341" s="4"/>
      <c r="V341" s="4"/>
      <c r="W341" s="4"/>
    </row>
    <row r="342" spans="1:23" x14ac:dyDescent="0.2">
      <c r="A342" s="4">
        <v>50</v>
      </c>
      <c r="B342" s="4">
        <v>0</v>
      </c>
      <c r="C342" s="4">
        <v>0</v>
      </c>
      <c r="D342" s="4">
        <v>1</v>
      </c>
      <c r="E342" s="4">
        <v>231</v>
      </c>
      <c r="F342" s="4">
        <f>ROUND(Source!BB329,O342)</f>
        <v>0</v>
      </c>
      <c r="G342" s="4" t="s">
        <v>140</v>
      </c>
      <c r="H342" s="4" t="s">
        <v>141</v>
      </c>
      <c r="I342" s="4"/>
      <c r="J342" s="4"/>
      <c r="K342" s="4">
        <v>231</v>
      </c>
      <c r="L342" s="4">
        <v>12</v>
      </c>
      <c r="M342" s="4">
        <v>3</v>
      </c>
      <c r="N342" s="4" t="s">
        <v>6</v>
      </c>
      <c r="O342" s="4">
        <v>2</v>
      </c>
      <c r="P342" s="4"/>
      <c r="Q342" s="4"/>
      <c r="R342" s="4"/>
      <c r="S342" s="4"/>
      <c r="T342" s="4"/>
      <c r="U342" s="4"/>
      <c r="V342" s="4"/>
      <c r="W342" s="4"/>
    </row>
    <row r="343" spans="1:23" x14ac:dyDescent="0.2">
      <c r="A343" s="4">
        <v>50</v>
      </c>
      <c r="B343" s="4">
        <v>0</v>
      </c>
      <c r="C343" s="4">
        <v>0</v>
      </c>
      <c r="D343" s="4">
        <v>1</v>
      </c>
      <c r="E343" s="4">
        <v>204</v>
      </c>
      <c r="F343" s="4">
        <f>ROUND(Source!R329,O343)</f>
        <v>1463.02</v>
      </c>
      <c r="G343" s="4" t="s">
        <v>142</v>
      </c>
      <c r="H343" s="4" t="s">
        <v>143</v>
      </c>
      <c r="I343" s="4"/>
      <c r="J343" s="4"/>
      <c r="K343" s="4">
        <v>204</v>
      </c>
      <c r="L343" s="4">
        <v>13</v>
      </c>
      <c r="M343" s="4">
        <v>3</v>
      </c>
      <c r="N343" s="4" t="s">
        <v>6</v>
      </c>
      <c r="O343" s="4">
        <v>2</v>
      </c>
      <c r="P343" s="4"/>
      <c r="Q343" s="4"/>
      <c r="R343" s="4"/>
      <c r="S343" s="4"/>
      <c r="T343" s="4"/>
      <c r="U343" s="4"/>
      <c r="V343" s="4"/>
      <c r="W343" s="4"/>
    </row>
    <row r="344" spans="1:23" x14ac:dyDescent="0.2">
      <c r="A344" s="4">
        <v>50</v>
      </c>
      <c r="B344" s="4">
        <v>0</v>
      </c>
      <c r="C344" s="4">
        <v>0</v>
      </c>
      <c r="D344" s="4">
        <v>1</v>
      </c>
      <c r="E344" s="4">
        <v>205</v>
      </c>
      <c r="F344" s="4">
        <f>ROUND(Source!S329,O344)</f>
        <v>96484.6</v>
      </c>
      <c r="G344" s="4" t="s">
        <v>144</v>
      </c>
      <c r="H344" s="4" t="s">
        <v>145</v>
      </c>
      <c r="I344" s="4"/>
      <c r="J344" s="4"/>
      <c r="K344" s="4">
        <v>205</v>
      </c>
      <c r="L344" s="4">
        <v>14</v>
      </c>
      <c r="M344" s="4">
        <v>3</v>
      </c>
      <c r="N344" s="4" t="s">
        <v>6</v>
      </c>
      <c r="O344" s="4">
        <v>2</v>
      </c>
      <c r="P344" s="4"/>
      <c r="Q344" s="4"/>
      <c r="R344" s="4"/>
      <c r="S344" s="4"/>
      <c r="T344" s="4"/>
      <c r="U344" s="4"/>
      <c r="V344" s="4"/>
      <c r="W344" s="4"/>
    </row>
    <row r="345" spans="1:23" x14ac:dyDescent="0.2">
      <c r="A345" s="4">
        <v>50</v>
      </c>
      <c r="B345" s="4">
        <v>0</v>
      </c>
      <c r="C345" s="4">
        <v>0</v>
      </c>
      <c r="D345" s="4">
        <v>1</v>
      </c>
      <c r="E345" s="4">
        <v>232</v>
      </c>
      <c r="F345" s="4">
        <f>ROUND(Source!BC329,O345)</f>
        <v>0</v>
      </c>
      <c r="G345" s="4" t="s">
        <v>146</v>
      </c>
      <c r="H345" s="4" t="s">
        <v>147</v>
      </c>
      <c r="I345" s="4"/>
      <c r="J345" s="4"/>
      <c r="K345" s="4">
        <v>232</v>
      </c>
      <c r="L345" s="4">
        <v>15</v>
      </c>
      <c r="M345" s="4">
        <v>3</v>
      </c>
      <c r="N345" s="4" t="s">
        <v>6</v>
      </c>
      <c r="O345" s="4">
        <v>2</v>
      </c>
      <c r="P345" s="4"/>
      <c r="Q345" s="4"/>
      <c r="R345" s="4"/>
      <c r="S345" s="4"/>
      <c r="T345" s="4"/>
      <c r="U345" s="4"/>
      <c r="V345" s="4"/>
      <c r="W345" s="4"/>
    </row>
    <row r="346" spans="1:23" x14ac:dyDescent="0.2">
      <c r="A346" s="4">
        <v>50</v>
      </c>
      <c r="B346" s="4">
        <v>0</v>
      </c>
      <c r="C346" s="4">
        <v>0</v>
      </c>
      <c r="D346" s="4">
        <v>1</v>
      </c>
      <c r="E346" s="4">
        <v>214</v>
      </c>
      <c r="F346" s="4">
        <f>ROUND(Source!AS329,O346)</f>
        <v>760508.39</v>
      </c>
      <c r="G346" s="4" t="s">
        <v>148</v>
      </c>
      <c r="H346" s="4" t="s">
        <v>149</v>
      </c>
      <c r="I346" s="4"/>
      <c r="J346" s="4"/>
      <c r="K346" s="4">
        <v>214</v>
      </c>
      <c r="L346" s="4">
        <v>16</v>
      </c>
      <c r="M346" s="4">
        <v>3</v>
      </c>
      <c r="N346" s="4" t="s">
        <v>6</v>
      </c>
      <c r="O346" s="4">
        <v>2</v>
      </c>
      <c r="P346" s="4"/>
      <c r="Q346" s="4"/>
      <c r="R346" s="4"/>
      <c r="S346" s="4"/>
      <c r="T346" s="4"/>
      <c r="U346" s="4"/>
      <c r="V346" s="4"/>
      <c r="W346" s="4"/>
    </row>
    <row r="347" spans="1:23" x14ac:dyDescent="0.2">
      <c r="A347" s="4">
        <v>50</v>
      </c>
      <c r="B347" s="4">
        <v>0</v>
      </c>
      <c r="C347" s="4">
        <v>0</v>
      </c>
      <c r="D347" s="4">
        <v>1</v>
      </c>
      <c r="E347" s="4">
        <v>215</v>
      </c>
      <c r="F347" s="4">
        <f>ROUND(Source!AT329,O347)</f>
        <v>341920.95</v>
      </c>
      <c r="G347" s="4" t="s">
        <v>150</v>
      </c>
      <c r="H347" s="4" t="s">
        <v>151</v>
      </c>
      <c r="I347" s="4"/>
      <c r="J347" s="4"/>
      <c r="K347" s="4">
        <v>215</v>
      </c>
      <c r="L347" s="4">
        <v>17</v>
      </c>
      <c r="M347" s="4">
        <v>3</v>
      </c>
      <c r="N347" s="4" t="s">
        <v>6</v>
      </c>
      <c r="O347" s="4">
        <v>2</v>
      </c>
      <c r="P347" s="4"/>
      <c r="Q347" s="4"/>
      <c r="R347" s="4"/>
      <c r="S347" s="4"/>
      <c r="T347" s="4"/>
      <c r="U347" s="4"/>
      <c r="V347" s="4"/>
      <c r="W347" s="4"/>
    </row>
    <row r="348" spans="1:23" x14ac:dyDescent="0.2">
      <c r="A348" s="4">
        <v>50</v>
      </c>
      <c r="B348" s="4">
        <v>0</v>
      </c>
      <c r="C348" s="4">
        <v>0</v>
      </c>
      <c r="D348" s="4">
        <v>1</v>
      </c>
      <c r="E348" s="4">
        <v>217</v>
      </c>
      <c r="F348" s="4">
        <f>ROUND(Source!AU329,O348)</f>
        <v>46242.98</v>
      </c>
      <c r="G348" s="4" t="s">
        <v>152</v>
      </c>
      <c r="H348" s="4" t="s">
        <v>153</v>
      </c>
      <c r="I348" s="4"/>
      <c r="J348" s="4"/>
      <c r="K348" s="4">
        <v>217</v>
      </c>
      <c r="L348" s="4">
        <v>18</v>
      </c>
      <c r="M348" s="4">
        <v>3</v>
      </c>
      <c r="N348" s="4" t="s">
        <v>6</v>
      </c>
      <c r="O348" s="4">
        <v>2</v>
      </c>
      <c r="P348" s="4"/>
      <c r="Q348" s="4"/>
      <c r="R348" s="4"/>
      <c r="S348" s="4"/>
      <c r="T348" s="4"/>
      <c r="U348" s="4"/>
      <c r="V348" s="4"/>
      <c r="W348" s="4"/>
    </row>
    <row r="349" spans="1:23" x14ac:dyDescent="0.2">
      <c r="A349" s="4">
        <v>50</v>
      </c>
      <c r="B349" s="4">
        <v>0</v>
      </c>
      <c r="C349" s="4">
        <v>0</v>
      </c>
      <c r="D349" s="4">
        <v>1</v>
      </c>
      <c r="E349" s="4">
        <v>230</v>
      </c>
      <c r="F349" s="4">
        <f>ROUND(Source!BA329,O349)</f>
        <v>0</v>
      </c>
      <c r="G349" s="4" t="s">
        <v>154</v>
      </c>
      <c r="H349" s="4" t="s">
        <v>155</v>
      </c>
      <c r="I349" s="4"/>
      <c r="J349" s="4"/>
      <c r="K349" s="4">
        <v>230</v>
      </c>
      <c r="L349" s="4">
        <v>19</v>
      </c>
      <c r="M349" s="4">
        <v>3</v>
      </c>
      <c r="N349" s="4" t="s">
        <v>6</v>
      </c>
      <c r="O349" s="4">
        <v>2</v>
      </c>
      <c r="P349" s="4"/>
      <c r="Q349" s="4"/>
      <c r="R349" s="4"/>
      <c r="S349" s="4"/>
      <c r="T349" s="4"/>
      <c r="U349" s="4"/>
      <c r="V349" s="4"/>
      <c r="W349" s="4"/>
    </row>
    <row r="350" spans="1:23" x14ac:dyDescent="0.2">
      <c r="A350" s="4">
        <v>50</v>
      </c>
      <c r="B350" s="4">
        <v>0</v>
      </c>
      <c r="C350" s="4">
        <v>0</v>
      </c>
      <c r="D350" s="4">
        <v>1</v>
      </c>
      <c r="E350" s="4">
        <v>206</v>
      </c>
      <c r="F350" s="4">
        <f>ROUND(Source!T329,O350)</f>
        <v>0</v>
      </c>
      <c r="G350" s="4" t="s">
        <v>156</v>
      </c>
      <c r="H350" s="4" t="s">
        <v>157</v>
      </c>
      <c r="I350" s="4"/>
      <c r="J350" s="4"/>
      <c r="K350" s="4">
        <v>206</v>
      </c>
      <c r="L350" s="4">
        <v>20</v>
      </c>
      <c r="M350" s="4">
        <v>3</v>
      </c>
      <c r="N350" s="4" t="s">
        <v>6</v>
      </c>
      <c r="O350" s="4">
        <v>2</v>
      </c>
      <c r="P350" s="4"/>
      <c r="Q350" s="4"/>
      <c r="R350" s="4"/>
      <c r="S350" s="4"/>
      <c r="T350" s="4"/>
      <c r="U350" s="4"/>
      <c r="V350" s="4"/>
      <c r="W350" s="4"/>
    </row>
    <row r="351" spans="1:23" x14ac:dyDescent="0.2">
      <c r="A351" s="4">
        <v>50</v>
      </c>
      <c r="B351" s="4">
        <v>0</v>
      </c>
      <c r="C351" s="4">
        <v>0</v>
      </c>
      <c r="D351" s="4">
        <v>1</v>
      </c>
      <c r="E351" s="4">
        <v>207</v>
      </c>
      <c r="F351" s="4">
        <f>Source!U329</f>
        <v>1332.7117816999998</v>
      </c>
      <c r="G351" s="4" t="s">
        <v>158</v>
      </c>
      <c r="H351" s="4" t="s">
        <v>159</v>
      </c>
      <c r="I351" s="4"/>
      <c r="J351" s="4"/>
      <c r="K351" s="4">
        <v>207</v>
      </c>
      <c r="L351" s="4">
        <v>21</v>
      </c>
      <c r="M351" s="4">
        <v>3</v>
      </c>
      <c r="N351" s="4" t="s">
        <v>6</v>
      </c>
      <c r="O351" s="4">
        <v>-1</v>
      </c>
      <c r="P351" s="4"/>
      <c r="Q351" s="4"/>
      <c r="R351" s="4"/>
      <c r="S351" s="4"/>
      <c r="T351" s="4"/>
      <c r="U351" s="4"/>
      <c r="V351" s="4"/>
      <c r="W351" s="4"/>
    </row>
    <row r="352" spans="1:23" x14ac:dyDescent="0.2">
      <c r="A352" s="4">
        <v>50</v>
      </c>
      <c r="B352" s="4">
        <v>0</v>
      </c>
      <c r="C352" s="4">
        <v>0</v>
      </c>
      <c r="D352" s="4">
        <v>1</v>
      </c>
      <c r="E352" s="4">
        <v>208</v>
      </c>
      <c r="F352" s="4">
        <f>Source!V329</f>
        <v>17.025969</v>
      </c>
      <c r="G352" s="4" t="s">
        <v>160</v>
      </c>
      <c r="H352" s="4" t="s">
        <v>161</v>
      </c>
      <c r="I352" s="4"/>
      <c r="J352" s="4"/>
      <c r="K352" s="4">
        <v>208</v>
      </c>
      <c r="L352" s="4">
        <v>22</v>
      </c>
      <c r="M352" s="4">
        <v>3</v>
      </c>
      <c r="N352" s="4" t="s">
        <v>6</v>
      </c>
      <c r="O352" s="4">
        <v>-1</v>
      </c>
      <c r="P352" s="4"/>
      <c r="Q352" s="4"/>
      <c r="R352" s="4"/>
      <c r="S352" s="4"/>
      <c r="T352" s="4"/>
      <c r="U352" s="4"/>
      <c r="V352" s="4"/>
      <c r="W352" s="4"/>
    </row>
    <row r="353" spans="1:206" x14ac:dyDescent="0.2">
      <c r="A353" s="4">
        <v>50</v>
      </c>
      <c r="B353" s="4">
        <v>0</v>
      </c>
      <c r="C353" s="4">
        <v>0</v>
      </c>
      <c r="D353" s="4">
        <v>1</v>
      </c>
      <c r="E353" s="4">
        <v>209</v>
      </c>
      <c r="F353" s="4">
        <f>ROUND(Source!W329,O353)</f>
        <v>0</v>
      </c>
      <c r="G353" s="4" t="s">
        <v>162</v>
      </c>
      <c r="H353" s="4" t="s">
        <v>163</v>
      </c>
      <c r="I353" s="4"/>
      <c r="J353" s="4"/>
      <c r="K353" s="4">
        <v>209</v>
      </c>
      <c r="L353" s="4">
        <v>23</v>
      </c>
      <c r="M353" s="4">
        <v>3</v>
      </c>
      <c r="N353" s="4" t="s">
        <v>6</v>
      </c>
      <c r="O353" s="4">
        <v>2</v>
      </c>
      <c r="P353" s="4"/>
      <c r="Q353" s="4"/>
      <c r="R353" s="4"/>
      <c r="S353" s="4"/>
      <c r="T353" s="4"/>
      <c r="U353" s="4"/>
      <c r="V353" s="4"/>
      <c r="W353" s="4"/>
    </row>
    <row r="354" spans="1:206" x14ac:dyDescent="0.2">
      <c r="A354" s="4">
        <v>50</v>
      </c>
      <c r="B354" s="4">
        <v>0</v>
      </c>
      <c r="C354" s="4">
        <v>0</v>
      </c>
      <c r="D354" s="4">
        <v>1</v>
      </c>
      <c r="E354" s="4">
        <v>210</v>
      </c>
      <c r="F354" s="4">
        <f>ROUND(Source!X329,O354)</f>
        <v>86927.03</v>
      </c>
      <c r="G354" s="4" t="s">
        <v>164</v>
      </c>
      <c r="H354" s="4" t="s">
        <v>165</v>
      </c>
      <c r="I354" s="4"/>
      <c r="J354" s="4"/>
      <c r="K354" s="4">
        <v>210</v>
      </c>
      <c r="L354" s="4">
        <v>24</v>
      </c>
      <c r="M354" s="4">
        <v>3</v>
      </c>
      <c r="N354" s="4" t="s">
        <v>6</v>
      </c>
      <c r="O354" s="4">
        <v>2</v>
      </c>
      <c r="P354" s="4"/>
      <c r="Q354" s="4"/>
      <c r="R354" s="4"/>
      <c r="S354" s="4"/>
      <c r="T354" s="4"/>
      <c r="U354" s="4"/>
      <c r="V354" s="4"/>
      <c r="W354" s="4"/>
    </row>
    <row r="355" spans="1:206" x14ac:dyDescent="0.2">
      <c r="A355" s="4">
        <v>50</v>
      </c>
      <c r="B355" s="4">
        <v>0</v>
      </c>
      <c r="C355" s="4">
        <v>0</v>
      </c>
      <c r="D355" s="4">
        <v>1</v>
      </c>
      <c r="E355" s="4">
        <v>211</v>
      </c>
      <c r="F355" s="4">
        <f>ROUND(Source!Y329,O355)</f>
        <v>54704.55</v>
      </c>
      <c r="G355" s="4" t="s">
        <v>166</v>
      </c>
      <c r="H355" s="4" t="s">
        <v>167</v>
      </c>
      <c r="I355" s="4"/>
      <c r="J355" s="4"/>
      <c r="K355" s="4">
        <v>211</v>
      </c>
      <c r="L355" s="4">
        <v>25</v>
      </c>
      <c r="M355" s="4">
        <v>3</v>
      </c>
      <c r="N355" s="4" t="s">
        <v>6</v>
      </c>
      <c r="O355" s="4">
        <v>2</v>
      </c>
      <c r="P355" s="4"/>
      <c r="Q355" s="4"/>
      <c r="R355" s="4"/>
      <c r="S355" s="4"/>
      <c r="T355" s="4"/>
      <c r="U355" s="4"/>
      <c r="V355" s="4"/>
      <c r="W355" s="4"/>
    </row>
    <row r="356" spans="1:206" x14ac:dyDescent="0.2">
      <c r="A356" s="4">
        <v>50</v>
      </c>
      <c r="B356" s="4">
        <v>0</v>
      </c>
      <c r="C356" s="4">
        <v>0</v>
      </c>
      <c r="D356" s="4">
        <v>1</v>
      </c>
      <c r="E356" s="4">
        <v>0</v>
      </c>
      <c r="F356" s="4">
        <f>ROUND(Source!AR329,O356)</f>
        <v>1148672.32</v>
      </c>
      <c r="G356" s="4" t="s">
        <v>168</v>
      </c>
      <c r="H356" s="4" t="s">
        <v>169</v>
      </c>
      <c r="I356" s="4"/>
      <c r="J356" s="4"/>
      <c r="K356" s="4">
        <v>224</v>
      </c>
      <c r="L356" s="4">
        <v>26</v>
      </c>
      <c r="M356" s="4">
        <v>3</v>
      </c>
      <c r="N356" s="4" t="s">
        <v>6</v>
      </c>
      <c r="O356" s="4">
        <v>2</v>
      </c>
      <c r="P356" s="4"/>
      <c r="Q356" s="4"/>
      <c r="R356" s="4"/>
      <c r="S356" s="4"/>
      <c r="T356" s="4"/>
      <c r="U356" s="4"/>
      <c r="V356" s="4"/>
      <c r="W356" s="4"/>
    </row>
    <row r="357" spans="1:206" x14ac:dyDescent="0.2">
      <c r="A357" s="4">
        <v>50</v>
      </c>
      <c r="B357" s="4">
        <v>1</v>
      </c>
      <c r="C357" s="4">
        <v>0</v>
      </c>
      <c r="D357" s="4">
        <v>2</v>
      </c>
      <c r="E357" s="4">
        <v>0</v>
      </c>
      <c r="F357" s="4">
        <f>ROUND(F356,O357)</f>
        <v>1148672.32</v>
      </c>
      <c r="G357" s="4" t="s">
        <v>637</v>
      </c>
      <c r="H357" s="4" t="s">
        <v>168</v>
      </c>
      <c r="I357" s="4"/>
      <c r="J357" s="4"/>
      <c r="K357" s="4">
        <v>212</v>
      </c>
      <c r="L357" s="4">
        <v>27</v>
      </c>
      <c r="M357" s="4">
        <v>0</v>
      </c>
      <c r="N357" s="4" t="s">
        <v>6</v>
      </c>
      <c r="O357" s="4">
        <v>2</v>
      </c>
      <c r="P357" s="4"/>
      <c r="Q357" s="4"/>
      <c r="R357" s="4"/>
      <c r="S357" s="4"/>
      <c r="T357" s="4"/>
      <c r="U357" s="4"/>
      <c r="V357" s="4"/>
      <c r="W357" s="4"/>
    </row>
    <row r="358" spans="1:206" x14ac:dyDescent="0.2">
      <c r="A358" s="4">
        <v>50</v>
      </c>
      <c r="B358" s="4">
        <v>1</v>
      </c>
      <c r="C358" s="4">
        <v>0</v>
      </c>
      <c r="D358" s="4">
        <v>2</v>
      </c>
      <c r="E358" s="4">
        <v>0</v>
      </c>
      <c r="F358" s="4">
        <f>ROUND(F357*0.18,O358)</f>
        <v>206761.02</v>
      </c>
      <c r="G358" s="4" t="s">
        <v>638</v>
      </c>
      <c r="H358" s="4" t="s">
        <v>639</v>
      </c>
      <c r="I358" s="4"/>
      <c r="J358" s="4"/>
      <c r="K358" s="4">
        <v>212</v>
      </c>
      <c r="L358" s="4">
        <v>28</v>
      </c>
      <c r="M358" s="4">
        <v>0</v>
      </c>
      <c r="N358" s="4" t="s">
        <v>6</v>
      </c>
      <c r="O358" s="4">
        <v>2</v>
      </c>
      <c r="P358" s="4"/>
      <c r="Q358" s="4"/>
      <c r="R358" s="4"/>
      <c r="S358" s="4"/>
      <c r="T358" s="4"/>
      <c r="U358" s="4"/>
      <c r="V358" s="4"/>
      <c r="W358" s="4"/>
    </row>
    <row r="359" spans="1:206" x14ac:dyDescent="0.2">
      <c r="A359" s="4">
        <v>50</v>
      </c>
      <c r="B359" s="4">
        <v>1</v>
      </c>
      <c r="C359" s="4">
        <v>0</v>
      </c>
      <c r="D359" s="4">
        <v>2</v>
      </c>
      <c r="E359" s="4">
        <v>224</v>
      </c>
      <c r="F359" s="4">
        <f>ROUND(F357+F358,O359)</f>
        <v>1355433.34</v>
      </c>
      <c r="G359" s="4" t="s">
        <v>640</v>
      </c>
      <c r="H359" s="4" t="s">
        <v>641</v>
      </c>
      <c r="I359" s="4"/>
      <c r="J359" s="4"/>
      <c r="K359" s="4">
        <v>212</v>
      </c>
      <c r="L359" s="4">
        <v>29</v>
      </c>
      <c r="M359" s="4">
        <v>0</v>
      </c>
      <c r="N359" s="4" t="s">
        <v>6</v>
      </c>
      <c r="O359" s="4">
        <v>2</v>
      </c>
      <c r="P359" s="4"/>
      <c r="Q359" s="4"/>
      <c r="R359" s="4"/>
      <c r="S359" s="4"/>
      <c r="T359" s="4"/>
      <c r="U359" s="4"/>
      <c r="V359" s="4"/>
      <c r="W359" s="4"/>
    </row>
    <row r="361" spans="1:206" x14ac:dyDescent="0.2">
      <c r="A361" s="2">
        <v>51</v>
      </c>
      <c r="B361" s="2">
        <f>B12</f>
        <v>419</v>
      </c>
      <c r="C361" s="2">
        <f>A12</f>
        <v>1</v>
      </c>
      <c r="D361" s="2">
        <f>ROW(A12)</f>
        <v>12</v>
      </c>
      <c r="E361" s="2"/>
      <c r="F361" s="2" t="str">
        <f>IF(F12&lt;&gt;"",F12,"")</f>
        <v>Новый объект</v>
      </c>
      <c r="G361" s="2" t="str">
        <f>IF(G12&lt;&gt;"",G12,"")</f>
        <v>на ремонт помещений № 2- № 8, № 10 2-го этажа здания корпуса 30  НИЯУ МИФИ по адресу: г. Москва, Каширское шоссе, д. 31 стр. 7</v>
      </c>
      <c r="H361" s="2">
        <v>0</v>
      </c>
      <c r="I361" s="2"/>
      <c r="J361" s="2"/>
      <c r="K361" s="2"/>
      <c r="L361" s="2"/>
      <c r="M361" s="2"/>
      <c r="N361" s="2"/>
      <c r="O361" s="2">
        <f t="shared" ref="O361:T361" si="310">ROUND(O329,2)</f>
        <v>1006235.74</v>
      </c>
      <c r="P361" s="2">
        <f t="shared" si="310"/>
        <v>902976.05</v>
      </c>
      <c r="Q361" s="2">
        <f t="shared" si="310"/>
        <v>6775.09</v>
      </c>
      <c r="R361" s="2">
        <f t="shared" si="310"/>
        <v>1463.02</v>
      </c>
      <c r="S361" s="2">
        <f t="shared" si="310"/>
        <v>96484.6</v>
      </c>
      <c r="T361" s="2">
        <f t="shared" si="310"/>
        <v>0</v>
      </c>
      <c r="U361" s="2">
        <f>U329</f>
        <v>1332.7117816999998</v>
      </c>
      <c r="V361" s="2">
        <f>V329</f>
        <v>17.025969</v>
      </c>
      <c r="W361" s="2">
        <f>ROUND(W329,2)</f>
        <v>0</v>
      </c>
      <c r="X361" s="2">
        <f>ROUND(X329,2)</f>
        <v>86927.03</v>
      </c>
      <c r="Y361" s="2">
        <f>ROUND(Y329,2)</f>
        <v>54704.55</v>
      </c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>
        <f t="shared" ref="AO361:BC361" si="311">ROUND(AO329,2)</f>
        <v>0</v>
      </c>
      <c r="AP361" s="2">
        <f t="shared" si="311"/>
        <v>0</v>
      </c>
      <c r="AQ361" s="2">
        <f t="shared" si="311"/>
        <v>0</v>
      </c>
      <c r="AR361" s="2">
        <f t="shared" si="311"/>
        <v>1148672.32</v>
      </c>
      <c r="AS361" s="2">
        <f t="shared" si="311"/>
        <v>760508.39</v>
      </c>
      <c r="AT361" s="2">
        <f t="shared" si="311"/>
        <v>341920.95</v>
      </c>
      <c r="AU361" s="2">
        <f t="shared" si="311"/>
        <v>46242.98</v>
      </c>
      <c r="AV361" s="2">
        <f t="shared" si="311"/>
        <v>902976.05</v>
      </c>
      <c r="AW361" s="2">
        <f t="shared" si="311"/>
        <v>902976.05</v>
      </c>
      <c r="AX361" s="2">
        <f t="shared" si="311"/>
        <v>0</v>
      </c>
      <c r="AY361" s="2">
        <f t="shared" si="311"/>
        <v>902976.05</v>
      </c>
      <c r="AZ361" s="2">
        <f t="shared" si="311"/>
        <v>0</v>
      </c>
      <c r="BA361" s="2">
        <f t="shared" si="311"/>
        <v>0</v>
      </c>
      <c r="BB361" s="2">
        <f t="shared" si="311"/>
        <v>0</v>
      </c>
      <c r="BC361" s="2">
        <f t="shared" si="311"/>
        <v>0</v>
      </c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3"/>
      <c r="DH361" s="3"/>
      <c r="DI361" s="3"/>
      <c r="DJ361" s="3"/>
      <c r="DK361" s="3"/>
      <c r="DL361" s="3"/>
      <c r="DM361" s="3"/>
      <c r="DN361" s="3"/>
      <c r="DO361" s="3"/>
      <c r="DP361" s="3"/>
      <c r="DQ361" s="3"/>
      <c r="DR361" s="3"/>
      <c r="DS361" s="3"/>
      <c r="DT361" s="3"/>
      <c r="DU361" s="3"/>
      <c r="DV361" s="3"/>
      <c r="DW361" s="3"/>
      <c r="DX361" s="3"/>
      <c r="DY361" s="3"/>
      <c r="DZ361" s="3"/>
      <c r="EA361" s="3"/>
      <c r="EB361" s="3"/>
      <c r="EC361" s="3"/>
      <c r="ED361" s="3"/>
      <c r="EE361" s="3"/>
      <c r="EF361" s="3"/>
      <c r="EG361" s="3"/>
      <c r="EH361" s="3"/>
      <c r="EI361" s="3"/>
      <c r="EJ361" s="3"/>
      <c r="EK361" s="3"/>
      <c r="EL361" s="3"/>
      <c r="EM361" s="3"/>
      <c r="EN361" s="3"/>
      <c r="EO361" s="3"/>
      <c r="EP361" s="3"/>
      <c r="EQ361" s="3"/>
      <c r="ER361" s="3"/>
      <c r="ES361" s="3"/>
      <c r="ET361" s="3"/>
      <c r="EU361" s="3"/>
      <c r="EV361" s="3"/>
      <c r="EW361" s="3"/>
      <c r="EX361" s="3"/>
      <c r="EY361" s="3"/>
      <c r="EZ361" s="3"/>
      <c r="FA361" s="3"/>
      <c r="FB361" s="3"/>
      <c r="FC361" s="3"/>
      <c r="FD361" s="3"/>
      <c r="FE361" s="3"/>
      <c r="FF361" s="3"/>
      <c r="FG361" s="3"/>
      <c r="FH361" s="3"/>
      <c r="FI361" s="3"/>
      <c r="FJ361" s="3"/>
      <c r="FK361" s="3"/>
      <c r="FL361" s="3"/>
      <c r="FM361" s="3"/>
      <c r="FN361" s="3"/>
      <c r="FO361" s="3"/>
      <c r="FP361" s="3"/>
      <c r="FQ361" s="3"/>
      <c r="FR361" s="3"/>
      <c r="FS361" s="3"/>
      <c r="FT361" s="3"/>
      <c r="FU361" s="3"/>
      <c r="FV361" s="3"/>
      <c r="FW361" s="3"/>
      <c r="FX361" s="3"/>
      <c r="FY361" s="3"/>
      <c r="FZ361" s="3"/>
      <c r="GA361" s="3"/>
      <c r="GB361" s="3"/>
      <c r="GC361" s="3"/>
      <c r="GD361" s="3"/>
      <c r="GE361" s="3"/>
      <c r="GF361" s="3"/>
      <c r="GG361" s="3"/>
      <c r="GH361" s="3"/>
      <c r="GI361" s="3"/>
      <c r="GJ361" s="3"/>
      <c r="GK361" s="3"/>
      <c r="GL361" s="3"/>
      <c r="GM361" s="3"/>
      <c r="GN361" s="3"/>
      <c r="GO361" s="3"/>
      <c r="GP361" s="3"/>
      <c r="GQ361" s="3"/>
      <c r="GR361" s="3"/>
      <c r="GS361" s="3"/>
      <c r="GT361" s="3"/>
      <c r="GU361" s="3"/>
      <c r="GV361" s="3"/>
      <c r="GW361" s="3"/>
      <c r="GX361" s="3">
        <v>0</v>
      </c>
    </row>
    <row r="363" spans="1:206" x14ac:dyDescent="0.2">
      <c r="A363" s="4">
        <v>50</v>
      </c>
      <c r="B363" s="4">
        <v>0</v>
      </c>
      <c r="C363" s="4">
        <v>0</v>
      </c>
      <c r="D363" s="4">
        <v>1</v>
      </c>
      <c r="E363" s="4">
        <v>201</v>
      </c>
      <c r="F363" s="4">
        <f>ROUND(Source!O361,O363)</f>
        <v>1006235.74</v>
      </c>
      <c r="G363" s="4" t="s">
        <v>118</v>
      </c>
      <c r="H363" s="4" t="s">
        <v>119</v>
      </c>
      <c r="I363" s="4"/>
      <c r="J363" s="4"/>
      <c r="K363" s="4">
        <v>201</v>
      </c>
      <c r="L363" s="4">
        <v>1</v>
      </c>
      <c r="M363" s="4">
        <v>3</v>
      </c>
      <c r="N363" s="4" t="s">
        <v>6</v>
      </c>
      <c r="O363" s="4">
        <v>2</v>
      </c>
      <c r="P363" s="4"/>
      <c r="Q363" s="4"/>
      <c r="R363" s="4"/>
      <c r="S363" s="4"/>
      <c r="T363" s="4"/>
      <c r="U363" s="4"/>
      <c r="V363" s="4"/>
      <c r="W363" s="4"/>
    </row>
    <row r="364" spans="1:206" x14ac:dyDescent="0.2">
      <c r="A364" s="4">
        <v>50</v>
      </c>
      <c r="B364" s="4">
        <v>0</v>
      </c>
      <c r="C364" s="4">
        <v>0</v>
      </c>
      <c r="D364" s="4">
        <v>1</v>
      </c>
      <c r="E364" s="4">
        <v>202</v>
      </c>
      <c r="F364" s="4">
        <f>ROUND(Source!P361,O364)</f>
        <v>902976.05</v>
      </c>
      <c r="G364" s="4" t="s">
        <v>120</v>
      </c>
      <c r="H364" s="4" t="s">
        <v>121</v>
      </c>
      <c r="I364" s="4"/>
      <c r="J364" s="4"/>
      <c r="K364" s="4">
        <v>202</v>
      </c>
      <c r="L364" s="4">
        <v>2</v>
      </c>
      <c r="M364" s="4">
        <v>3</v>
      </c>
      <c r="N364" s="4" t="s">
        <v>6</v>
      </c>
      <c r="O364" s="4">
        <v>2</v>
      </c>
      <c r="P364" s="4"/>
      <c r="Q364" s="4"/>
      <c r="R364" s="4"/>
      <c r="S364" s="4"/>
      <c r="T364" s="4"/>
      <c r="U364" s="4"/>
      <c r="V364" s="4"/>
      <c r="W364" s="4"/>
    </row>
    <row r="365" spans="1:206" x14ac:dyDescent="0.2">
      <c r="A365" s="4">
        <v>50</v>
      </c>
      <c r="B365" s="4">
        <v>0</v>
      </c>
      <c r="C365" s="4">
        <v>0</v>
      </c>
      <c r="D365" s="4">
        <v>1</v>
      </c>
      <c r="E365" s="4">
        <v>222</v>
      </c>
      <c r="F365" s="4">
        <f>ROUND(Source!AO361,O365)</f>
        <v>0</v>
      </c>
      <c r="G365" s="4" t="s">
        <v>122</v>
      </c>
      <c r="H365" s="4" t="s">
        <v>123</v>
      </c>
      <c r="I365" s="4"/>
      <c r="J365" s="4"/>
      <c r="K365" s="4">
        <v>222</v>
      </c>
      <c r="L365" s="4">
        <v>3</v>
      </c>
      <c r="M365" s="4">
        <v>3</v>
      </c>
      <c r="N365" s="4" t="s">
        <v>6</v>
      </c>
      <c r="O365" s="4">
        <v>2</v>
      </c>
      <c r="P365" s="4"/>
      <c r="Q365" s="4"/>
      <c r="R365" s="4"/>
      <c r="S365" s="4"/>
      <c r="T365" s="4"/>
      <c r="U365" s="4"/>
      <c r="V365" s="4"/>
      <c r="W365" s="4"/>
    </row>
    <row r="366" spans="1:206" x14ac:dyDescent="0.2">
      <c r="A366" s="4">
        <v>50</v>
      </c>
      <c r="B366" s="4">
        <v>0</v>
      </c>
      <c r="C366" s="4">
        <v>0</v>
      </c>
      <c r="D366" s="4">
        <v>1</v>
      </c>
      <c r="E366" s="4">
        <v>225</v>
      </c>
      <c r="F366" s="4">
        <f>ROUND(Source!AV361,O366)</f>
        <v>902976.05</v>
      </c>
      <c r="G366" s="4" t="s">
        <v>124</v>
      </c>
      <c r="H366" s="4" t="s">
        <v>125</v>
      </c>
      <c r="I366" s="4"/>
      <c r="J366" s="4"/>
      <c r="K366" s="4">
        <v>225</v>
      </c>
      <c r="L366" s="4">
        <v>4</v>
      </c>
      <c r="M366" s="4">
        <v>3</v>
      </c>
      <c r="N366" s="4" t="s">
        <v>6</v>
      </c>
      <c r="O366" s="4">
        <v>2</v>
      </c>
      <c r="P366" s="4"/>
      <c r="Q366" s="4"/>
      <c r="R366" s="4"/>
      <c r="S366" s="4"/>
      <c r="T366" s="4"/>
      <c r="U366" s="4"/>
      <c r="V366" s="4"/>
      <c r="W366" s="4"/>
    </row>
    <row r="367" spans="1:206" x14ac:dyDescent="0.2">
      <c r="A367" s="4">
        <v>50</v>
      </c>
      <c r="B367" s="4">
        <v>0</v>
      </c>
      <c r="C367" s="4">
        <v>0</v>
      </c>
      <c r="D367" s="4">
        <v>1</v>
      </c>
      <c r="E367" s="4">
        <v>226</v>
      </c>
      <c r="F367" s="4">
        <f>ROUND(Source!AW361,O367)</f>
        <v>902976.05</v>
      </c>
      <c r="G367" s="4" t="s">
        <v>126</v>
      </c>
      <c r="H367" s="4" t="s">
        <v>127</v>
      </c>
      <c r="I367" s="4"/>
      <c r="J367" s="4"/>
      <c r="K367" s="4">
        <v>226</v>
      </c>
      <c r="L367" s="4">
        <v>5</v>
      </c>
      <c r="M367" s="4">
        <v>3</v>
      </c>
      <c r="N367" s="4" t="s">
        <v>6</v>
      </c>
      <c r="O367" s="4">
        <v>2</v>
      </c>
      <c r="P367" s="4"/>
      <c r="Q367" s="4"/>
      <c r="R367" s="4"/>
      <c r="S367" s="4"/>
      <c r="T367" s="4"/>
      <c r="U367" s="4"/>
      <c r="V367" s="4"/>
      <c r="W367" s="4"/>
    </row>
    <row r="368" spans="1:206" x14ac:dyDescent="0.2">
      <c r="A368" s="4">
        <v>50</v>
      </c>
      <c r="B368" s="4">
        <v>0</v>
      </c>
      <c r="C368" s="4">
        <v>0</v>
      </c>
      <c r="D368" s="4">
        <v>1</v>
      </c>
      <c r="E368" s="4">
        <v>227</v>
      </c>
      <c r="F368" s="4">
        <f>ROUND(Source!AX361,O368)</f>
        <v>0</v>
      </c>
      <c r="G368" s="4" t="s">
        <v>128</v>
      </c>
      <c r="H368" s="4" t="s">
        <v>129</v>
      </c>
      <c r="I368" s="4"/>
      <c r="J368" s="4"/>
      <c r="K368" s="4">
        <v>227</v>
      </c>
      <c r="L368" s="4">
        <v>6</v>
      </c>
      <c r="M368" s="4">
        <v>3</v>
      </c>
      <c r="N368" s="4" t="s">
        <v>6</v>
      </c>
      <c r="O368" s="4">
        <v>2</v>
      </c>
      <c r="P368" s="4"/>
      <c r="Q368" s="4"/>
      <c r="R368" s="4"/>
      <c r="S368" s="4"/>
      <c r="T368" s="4"/>
      <c r="U368" s="4"/>
      <c r="V368" s="4"/>
      <c r="W368" s="4"/>
    </row>
    <row r="369" spans="1:23" x14ac:dyDescent="0.2">
      <c r="A369" s="4">
        <v>50</v>
      </c>
      <c r="B369" s="4">
        <v>0</v>
      </c>
      <c r="C369" s="4">
        <v>0</v>
      </c>
      <c r="D369" s="4">
        <v>1</v>
      </c>
      <c r="E369" s="4">
        <v>228</v>
      </c>
      <c r="F369" s="4">
        <f>ROUND(Source!AY361,O369)</f>
        <v>902976.05</v>
      </c>
      <c r="G369" s="4" t="s">
        <v>130</v>
      </c>
      <c r="H369" s="4" t="s">
        <v>131</v>
      </c>
      <c r="I369" s="4"/>
      <c r="J369" s="4"/>
      <c r="K369" s="4">
        <v>228</v>
      </c>
      <c r="L369" s="4">
        <v>7</v>
      </c>
      <c r="M369" s="4">
        <v>3</v>
      </c>
      <c r="N369" s="4" t="s">
        <v>6</v>
      </c>
      <c r="O369" s="4">
        <v>2</v>
      </c>
      <c r="P369" s="4"/>
      <c r="Q369" s="4"/>
      <c r="R369" s="4"/>
      <c r="S369" s="4"/>
      <c r="T369" s="4"/>
      <c r="U369" s="4"/>
      <c r="V369" s="4"/>
      <c r="W369" s="4"/>
    </row>
    <row r="370" spans="1:23" x14ac:dyDescent="0.2">
      <c r="A370" s="4">
        <v>50</v>
      </c>
      <c r="B370" s="4">
        <v>0</v>
      </c>
      <c r="C370" s="4">
        <v>0</v>
      </c>
      <c r="D370" s="4">
        <v>1</v>
      </c>
      <c r="E370" s="4">
        <v>216</v>
      </c>
      <c r="F370" s="4">
        <f>ROUND(Source!AP361,O370)</f>
        <v>0</v>
      </c>
      <c r="G370" s="4" t="s">
        <v>132</v>
      </c>
      <c r="H370" s="4" t="s">
        <v>133</v>
      </c>
      <c r="I370" s="4"/>
      <c r="J370" s="4"/>
      <c r="K370" s="4">
        <v>216</v>
      </c>
      <c r="L370" s="4">
        <v>8</v>
      </c>
      <c r="M370" s="4">
        <v>3</v>
      </c>
      <c r="N370" s="4" t="s">
        <v>6</v>
      </c>
      <c r="O370" s="4">
        <v>2</v>
      </c>
      <c r="P370" s="4"/>
      <c r="Q370" s="4"/>
      <c r="R370" s="4"/>
      <c r="S370" s="4"/>
      <c r="T370" s="4"/>
      <c r="U370" s="4"/>
      <c r="V370" s="4"/>
      <c r="W370" s="4"/>
    </row>
    <row r="371" spans="1:23" x14ac:dyDescent="0.2">
      <c r="A371" s="4">
        <v>50</v>
      </c>
      <c r="B371" s="4">
        <v>0</v>
      </c>
      <c r="C371" s="4">
        <v>0</v>
      </c>
      <c r="D371" s="4">
        <v>1</v>
      </c>
      <c r="E371" s="4">
        <v>223</v>
      </c>
      <c r="F371" s="4">
        <f>ROUND(Source!AQ361,O371)</f>
        <v>0</v>
      </c>
      <c r="G371" s="4" t="s">
        <v>134</v>
      </c>
      <c r="H371" s="4" t="s">
        <v>135</v>
      </c>
      <c r="I371" s="4"/>
      <c r="J371" s="4"/>
      <c r="K371" s="4">
        <v>223</v>
      </c>
      <c r="L371" s="4">
        <v>9</v>
      </c>
      <c r="M371" s="4">
        <v>3</v>
      </c>
      <c r="N371" s="4" t="s">
        <v>6</v>
      </c>
      <c r="O371" s="4">
        <v>2</v>
      </c>
      <c r="P371" s="4"/>
      <c r="Q371" s="4"/>
      <c r="R371" s="4"/>
      <c r="S371" s="4"/>
      <c r="T371" s="4"/>
      <c r="U371" s="4"/>
      <c r="V371" s="4"/>
      <c r="W371" s="4"/>
    </row>
    <row r="372" spans="1:23" x14ac:dyDescent="0.2">
      <c r="A372" s="4">
        <v>50</v>
      </c>
      <c r="B372" s="4">
        <v>0</v>
      </c>
      <c r="C372" s="4">
        <v>0</v>
      </c>
      <c r="D372" s="4">
        <v>1</v>
      </c>
      <c r="E372" s="4">
        <v>229</v>
      </c>
      <c r="F372" s="4">
        <f>ROUND(Source!AZ361,O372)</f>
        <v>0</v>
      </c>
      <c r="G372" s="4" t="s">
        <v>136</v>
      </c>
      <c r="H372" s="4" t="s">
        <v>137</v>
      </c>
      <c r="I372" s="4"/>
      <c r="J372" s="4"/>
      <c r="K372" s="4">
        <v>229</v>
      </c>
      <c r="L372" s="4">
        <v>10</v>
      </c>
      <c r="M372" s="4">
        <v>3</v>
      </c>
      <c r="N372" s="4" t="s">
        <v>6</v>
      </c>
      <c r="O372" s="4">
        <v>2</v>
      </c>
      <c r="P372" s="4"/>
      <c r="Q372" s="4"/>
      <c r="R372" s="4"/>
      <c r="S372" s="4"/>
      <c r="T372" s="4"/>
      <c r="U372" s="4"/>
      <c r="V372" s="4"/>
      <c r="W372" s="4"/>
    </row>
    <row r="373" spans="1:23" x14ac:dyDescent="0.2">
      <c r="A373" s="4">
        <v>50</v>
      </c>
      <c r="B373" s="4">
        <v>0</v>
      </c>
      <c r="C373" s="4">
        <v>0</v>
      </c>
      <c r="D373" s="4">
        <v>1</v>
      </c>
      <c r="E373" s="4">
        <v>203</v>
      </c>
      <c r="F373" s="4">
        <f>ROUND(Source!Q361,O373)</f>
        <v>6775.09</v>
      </c>
      <c r="G373" s="4" t="s">
        <v>138</v>
      </c>
      <c r="H373" s="4" t="s">
        <v>139</v>
      </c>
      <c r="I373" s="4"/>
      <c r="J373" s="4"/>
      <c r="K373" s="4">
        <v>203</v>
      </c>
      <c r="L373" s="4">
        <v>11</v>
      </c>
      <c r="M373" s="4">
        <v>3</v>
      </c>
      <c r="N373" s="4" t="s">
        <v>6</v>
      </c>
      <c r="O373" s="4">
        <v>2</v>
      </c>
      <c r="P373" s="4"/>
      <c r="Q373" s="4"/>
      <c r="R373" s="4"/>
      <c r="S373" s="4"/>
      <c r="T373" s="4"/>
      <c r="U373" s="4"/>
      <c r="V373" s="4"/>
      <c r="W373" s="4"/>
    </row>
    <row r="374" spans="1:23" x14ac:dyDescent="0.2">
      <c r="A374" s="4">
        <v>50</v>
      </c>
      <c r="B374" s="4">
        <v>0</v>
      </c>
      <c r="C374" s="4">
        <v>0</v>
      </c>
      <c r="D374" s="4">
        <v>1</v>
      </c>
      <c r="E374" s="4">
        <v>231</v>
      </c>
      <c r="F374" s="4">
        <f>ROUND(Source!BB361,O374)</f>
        <v>0</v>
      </c>
      <c r="G374" s="4" t="s">
        <v>140</v>
      </c>
      <c r="H374" s="4" t="s">
        <v>141</v>
      </c>
      <c r="I374" s="4"/>
      <c r="J374" s="4"/>
      <c r="K374" s="4">
        <v>231</v>
      </c>
      <c r="L374" s="4">
        <v>12</v>
      </c>
      <c r="M374" s="4">
        <v>3</v>
      </c>
      <c r="N374" s="4" t="s">
        <v>6</v>
      </c>
      <c r="O374" s="4">
        <v>2</v>
      </c>
      <c r="P374" s="4"/>
      <c r="Q374" s="4"/>
      <c r="R374" s="4"/>
      <c r="S374" s="4"/>
      <c r="T374" s="4"/>
      <c r="U374" s="4"/>
      <c r="V374" s="4"/>
      <c r="W374" s="4"/>
    </row>
    <row r="375" spans="1:23" x14ac:dyDescent="0.2">
      <c r="A375" s="4">
        <v>50</v>
      </c>
      <c r="B375" s="4">
        <v>0</v>
      </c>
      <c r="C375" s="4">
        <v>0</v>
      </c>
      <c r="D375" s="4">
        <v>1</v>
      </c>
      <c r="E375" s="4">
        <v>204</v>
      </c>
      <c r="F375" s="4">
        <f>ROUND(Source!R361,O375)</f>
        <v>1463.02</v>
      </c>
      <c r="G375" s="4" t="s">
        <v>142</v>
      </c>
      <c r="H375" s="4" t="s">
        <v>143</v>
      </c>
      <c r="I375" s="4"/>
      <c r="J375" s="4"/>
      <c r="K375" s="4">
        <v>204</v>
      </c>
      <c r="L375" s="4">
        <v>13</v>
      </c>
      <c r="M375" s="4">
        <v>3</v>
      </c>
      <c r="N375" s="4" t="s">
        <v>6</v>
      </c>
      <c r="O375" s="4">
        <v>2</v>
      </c>
      <c r="P375" s="4"/>
      <c r="Q375" s="4"/>
      <c r="R375" s="4"/>
      <c r="S375" s="4"/>
      <c r="T375" s="4"/>
      <c r="U375" s="4"/>
      <c r="V375" s="4"/>
      <c r="W375" s="4"/>
    </row>
    <row r="376" spans="1:23" x14ac:dyDescent="0.2">
      <c r="A376" s="4">
        <v>50</v>
      </c>
      <c r="B376" s="4">
        <v>0</v>
      </c>
      <c r="C376" s="4">
        <v>0</v>
      </c>
      <c r="D376" s="4">
        <v>1</v>
      </c>
      <c r="E376" s="4">
        <v>205</v>
      </c>
      <c r="F376" s="4">
        <f>ROUND(Source!S361,O376)</f>
        <v>96484.6</v>
      </c>
      <c r="G376" s="4" t="s">
        <v>144</v>
      </c>
      <c r="H376" s="4" t="s">
        <v>145</v>
      </c>
      <c r="I376" s="4"/>
      <c r="J376" s="4"/>
      <c r="K376" s="4">
        <v>205</v>
      </c>
      <c r="L376" s="4">
        <v>14</v>
      </c>
      <c r="M376" s="4">
        <v>3</v>
      </c>
      <c r="N376" s="4" t="s">
        <v>6</v>
      </c>
      <c r="O376" s="4">
        <v>2</v>
      </c>
      <c r="P376" s="4"/>
      <c r="Q376" s="4"/>
      <c r="R376" s="4"/>
      <c r="S376" s="4"/>
      <c r="T376" s="4"/>
      <c r="U376" s="4"/>
      <c r="V376" s="4"/>
      <c r="W376" s="4"/>
    </row>
    <row r="377" spans="1:23" x14ac:dyDescent="0.2">
      <c r="A377" s="4">
        <v>50</v>
      </c>
      <c r="B377" s="4">
        <v>0</v>
      </c>
      <c r="C377" s="4">
        <v>0</v>
      </c>
      <c r="D377" s="4">
        <v>1</v>
      </c>
      <c r="E377" s="4">
        <v>232</v>
      </c>
      <c r="F377" s="4">
        <f>ROUND(Source!BC361,O377)</f>
        <v>0</v>
      </c>
      <c r="G377" s="4" t="s">
        <v>146</v>
      </c>
      <c r="H377" s="4" t="s">
        <v>147</v>
      </c>
      <c r="I377" s="4"/>
      <c r="J377" s="4"/>
      <c r="K377" s="4">
        <v>232</v>
      </c>
      <c r="L377" s="4">
        <v>15</v>
      </c>
      <c r="M377" s="4">
        <v>3</v>
      </c>
      <c r="N377" s="4" t="s">
        <v>6</v>
      </c>
      <c r="O377" s="4">
        <v>2</v>
      </c>
      <c r="P377" s="4"/>
      <c r="Q377" s="4"/>
      <c r="R377" s="4"/>
      <c r="S377" s="4"/>
      <c r="T377" s="4"/>
      <c r="U377" s="4"/>
      <c r="V377" s="4"/>
      <c r="W377" s="4"/>
    </row>
    <row r="378" spans="1:23" x14ac:dyDescent="0.2">
      <c r="A378" s="4">
        <v>50</v>
      </c>
      <c r="B378" s="4">
        <v>0</v>
      </c>
      <c r="C378" s="4">
        <v>0</v>
      </c>
      <c r="D378" s="4">
        <v>1</v>
      </c>
      <c r="E378" s="4">
        <v>214</v>
      </c>
      <c r="F378" s="4">
        <f>ROUND(Source!AS361,O378)</f>
        <v>760508.39</v>
      </c>
      <c r="G378" s="4" t="s">
        <v>148</v>
      </c>
      <c r="H378" s="4" t="s">
        <v>149</v>
      </c>
      <c r="I378" s="4"/>
      <c r="J378" s="4"/>
      <c r="K378" s="4">
        <v>214</v>
      </c>
      <c r="L378" s="4">
        <v>16</v>
      </c>
      <c r="M378" s="4">
        <v>3</v>
      </c>
      <c r="N378" s="4" t="s">
        <v>6</v>
      </c>
      <c r="O378" s="4">
        <v>2</v>
      </c>
      <c r="P378" s="4"/>
      <c r="Q378" s="4"/>
      <c r="R378" s="4"/>
      <c r="S378" s="4"/>
      <c r="T378" s="4"/>
      <c r="U378" s="4"/>
      <c r="V378" s="4"/>
      <c r="W378" s="4"/>
    </row>
    <row r="379" spans="1:23" x14ac:dyDescent="0.2">
      <c r="A379" s="4">
        <v>50</v>
      </c>
      <c r="B379" s="4">
        <v>0</v>
      </c>
      <c r="C379" s="4">
        <v>0</v>
      </c>
      <c r="D379" s="4">
        <v>1</v>
      </c>
      <c r="E379" s="4">
        <v>215</v>
      </c>
      <c r="F379" s="4">
        <f>ROUND(Source!AT361,O379)</f>
        <v>341920.95</v>
      </c>
      <c r="G379" s="4" t="s">
        <v>150</v>
      </c>
      <c r="H379" s="4" t="s">
        <v>151</v>
      </c>
      <c r="I379" s="4"/>
      <c r="J379" s="4"/>
      <c r="K379" s="4">
        <v>215</v>
      </c>
      <c r="L379" s="4">
        <v>17</v>
      </c>
      <c r="M379" s="4">
        <v>3</v>
      </c>
      <c r="N379" s="4" t="s">
        <v>6</v>
      </c>
      <c r="O379" s="4">
        <v>2</v>
      </c>
      <c r="P379" s="4"/>
      <c r="Q379" s="4"/>
      <c r="R379" s="4"/>
      <c r="S379" s="4"/>
      <c r="T379" s="4"/>
      <c r="U379" s="4"/>
      <c r="V379" s="4"/>
      <c r="W379" s="4"/>
    </row>
    <row r="380" spans="1:23" x14ac:dyDescent="0.2">
      <c r="A380" s="4">
        <v>50</v>
      </c>
      <c r="B380" s="4">
        <v>0</v>
      </c>
      <c r="C380" s="4">
        <v>0</v>
      </c>
      <c r="D380" s="4">
        <v>1</v>
      </c>
      <c r="E380" s="4">
        <v>217</v>
      </c>
      <c r="F380" s="4">
        <f>ROUND(Source!AU361,O380)</f>
        <v>46242.98</v>
      </c>
      <c r="G380" s="4" t="s">
        <v>152</v>
      </c>
      <c r="H380" s="4" t="s">
        <v>153</v>
      </c>
      <c r="I380" s="4"/>
      <c r="J380" s="4"/>
      <c r="K380" s="4">
        <v>217</v>
      </c>
      <c r="L380" s="4">
        <v>18</v>
      </c>
      <c r="M380" s="4">
        <v>3</v>
      </c>
      <c r="N380" s="4" t="s">
        <v>6</v>
      </c>
      <c r="O380" s="4">
        <v>2</v>
      </c>
      <c r="P380" s="4"/>
      <c r="Q380" s="4"/>
      <c r="R380" s="4"/>
      <c r="S380" s="4"/>
      <c r="T380" s="4"/>
      <c r="U380" s="4"/>
      <c r="V380" s="4"/>
      <c r="W380" s="4"/>
    </row>
    <row r="381" spans="1:23" x14ac:dyDescent="0.2">
      <c r="A381" s="4">
        <v>50</v>
      </c>
      <c r="B381" s="4">
        <v>0</v>
      </c>
      <c r="C381" s="4">
        <v>0</v>
      </c>
      <c r="D381" s="4">
        <v>1</v>
      </c>
      <c r="E381" s="4">
        <v>230</v>
      </c>
      <c r="F381" s="4">
        <f>ROUND(Source!BA361,O381)</f>
        <v>0</v>
      </c>
      <c r="G381" s="4" t="s">
        <v>154</v>
      </c>
      <c r="H381" s="4" t="s">
        <v>155</v>
      </c>
      <c r="I381" s="4"/>
      <c r="J381" s="4"/>
      <c r="K381" s="4">
        <v>230</v>
      </c>
      <c r="L381" s="4">
        <v>19</v>
      </c>
      <c r="M381" s="4">
        <v>3</v>
      </c>
      <c r="N381" s="4" t="s">
        <v>6</v>
      </c>
      <c r="O381" s="4">
        <v>2</v>
      </c>
      <c r="P381" s="4"/>
      <c r="Q381" s="4"/>
      <c r="R381" s="4"/>
      <c r="S381" s="4"/>
      <c r="T381" s="4"/>
      <c r="U381" s="4"/>
      <c r="V381" s="4"/>
      <c r="W381" s="4"/>
    </row>
    <row r="382" spans="1:23" x14ac:dyDescent="0.2">
      <c r="A382" s="4">
        <v>50</v>
      </c>
      <c r="B382" s="4">
        <v>0</v>
      </c>
      <c r="C382" s="4">
        <v>0</v>
      </c>
      <c r="D382" s="4">
        <v>1</v>
      </c>
      <c r="E382" s="4">
        <v>206</v>
      </c>
      <c r="F382" s="4">
        <f>ROUND(Source!T361,O382)</f>
        <v>0</v>
      </c>
      <c r="G382" s="4" t="s">
        <v>156</v>
      </c>
      <c r="H382" s="4" t="s">
        <v>157</v>
      </c>
      <c r="I382" s="4"/>
      <c r="J382" s="4"/>
      <c r="K382" s="4">
        <v>206</v>
      </c>
      <c r="L382" s="4">
        <v>20</v>
      </c>
      <c r="M382" s="4">
        <v>3</v>
      </c>
      <c r="N382" s="4" t="s">
        <v>6</v>
      </c>
      <c r="O382" s="4">
        <v>2</v>
      </c>
      <c r="P382" s="4"/>
      <c r="Q382" s="4"/>
      <c r="R382" s="4"/>
      <c r="S382" s="4"/>
      <c r="T382" s="4"/>
      <c r="U382" s="4"/>
      <c r="V382" s="4"/>
      <c r="W382" s="4"/>
    </row>
    <row r="383" spans="1:23" x14ac:dyDescent="0.2">
      <c r="A383" s="4">
        <v>50</v>
      </c>
      <c r="B383" s="4">
        <v>0</v>
      </c>
      <c r="C383" s="4">
        <v>0</v>
      </c>
      <c r="D383" s="4">
        <v>1</v>
      </c>
      <c r="E383" s="4">
        <v>207</v>
      </c>
      <c r="F383" s="4">
        <f>Source!U361</f>
        <v>1332.7117816999998</v>
      </c>
      <c r="G383" s="4" t="s">
        <v>158</v>
      </c>
      <c r="H383" s="4" t="s">
        <v>159</v>
      </c>
      <c r="I383" s="4"/>
      <c r="J383" s="4"/>
      <c r="K383" s="4">
        <v>207</v>
      </c>
      <c r="L383" s="4">
        <v>21</v>
      </c>
      <c r="M383" s="4">
        <v>3</v>
      </c>
      <c r="N383" s="4" t="s">
        <v>6</v>
      </c>
      <c r="O383" s="4">
        <v>-1</v>
      </c>
      <c r="P383" s="4"/>
      <c r="Q383" s="4"/>
      <c r="R383" s="4"/>
      <c r="S383" s="4"/>
      <c r="T383" s="4"/>
      <c r="U383" s="4"/>
      <c r="V383" s="4"/>
      <c r="W383" s="4"/>
    </row>
    <row r="384" spans="1:23" x14ac:dyDescent="0.2">
      <c r="A384" s="4">
        <v>50</v>
      </c>
      <c r="B384" s="4">
        <v>0</v>
      </c>
      <c r="C384" s="4">
        <v>0</v>
      </c>
      <c r="D384" s="4">
        <v>1</v>
      </c>
      <c r="E384" s="4">
        <v>208</v>
      </c>
      <c r="F384" s="4">
        <f>Source!V361</f>
        <v>17.025969</v>
      </c>
      <c r="G384" s="4" t="s">
        <v>160</v>
      </c>
      <c r="H384" s="4" t="s">
        <v>161</v>
      </c>
      <c r="I384" s="4"/>
      <c r="J384" s="4"/>
      <c r="K384" s="4">
        <v>208</v>
      </c>
      <c r="L384" s="4">
        <v>22</v>
      </c>
      <c r="M384" s="4">
        <v>3</v>
      </c>
      <c r="N384" s="4" t="s">
        <v>6</v>
      </c>
      <c r="O384" s="4">
        <v>-1</v>
      </c>
      <c r="P384" s="4"/>
      <c r="Q384" s="4"/>
      <c r="R384" s="4"/>
      <c r="S384" s="4"/>
      <c r="T384" s="4"/>
      <c r="U384" s="4"/>
      <c r="V384" s="4"/>
      <c r="W384" s="4"/>
    </row>
    <row r="385" spans="1:23" x14ac:dyDescent="0.2">
      <c r="A385" s="4">
        <v>50</v>
      </c>
      <c r="B385" s="4">
        <v>0</v>
      </c>
      <c r="C385" s="4">
        <v>0</v>
      </c>
      <c r="D385" s="4">
        <v>1</v>
      </c>
      <c r="E385" s="4">
        <v>209</v>
      </c>
      <c r="F385" s="4">
        <f>ROUND(Source!W361,O385)</f>
        <v>0</v>
      </c>
      <c r="G385" s="4" t="s">
        <v>162</v>
      </c>
      <c r="H385" s="4" t="s">
        <v>163</v>
      </c>
      <c r="I385" s="4"/>
      <c r="J385" s="4"/>
      <c r="K385" s="4">
        <v>209</v>
      </c>
      <c r="L385" s="4">
        <v>23</v>
      </c>
      <c r="M385" s="4">
        <v>3</v>
      </c>
      <c r="N385" s="4" t="s">
        <v>6</v>
      </c>
      <c r="O385" s="4">
        <v>2</v>
      </c>
      <c r="P385" s="4"/>
      <c r="Q385" s="4"/>
      <c r="R385" s="4"/>
      <c r="S385" s="4"/>
      <c r="T385" s="4"/>
      <c r="U385" s="4"/>
      <c r="V385" s="4"/>
      <c r="W385" s="4"/>
    </row>
    <row r="386" spans="1:23" x14ac:dyDescent="0.2">
      <c r="A386" s="4">
        <v>50</v>
      </c>
      <c r="B386" s="4">
        <v>0</v>
      </c>
      <c r="C386" s="4">
        <v>0</v>
      </c>
      <c r="D386" s="4">
        <v>1</v>
      </c>
      <c r="E386" s="4">
        <v>210</v>
      </c>
      <c r="F386" s="4">
        <f>ROUND(Source!X361,O386)</f>
        <v>86927.03</v>
      </c>
      <c r="G386" s="4" t="s">
        <v>164</v>
      </c>
      <c r="H386" s="4" t="s">
        <v>165</v>
      </c>
      <c r="I386" s="4"/>
      <c r="J386" s="4"/>
      <c r="K386" s="4">
        <v>210</v>
      </c>
      <c r="L386" s="4">
        <v>24</v>
      </c>
      <c r="M386" s="4">
        <v>3</v>
      </c>
      <c r="N386" s="4" t="s">
        <v>6</v>
      </c>
      <c r="O386" s="4">
        <v>2</v>
      </c>
      <c r="P386" s="4"/>
      <c r="Q386" s="4"/>
      <c r="R386" s="4"/>
      <c r="S386" s="4"/>
      <c r="T386" s="4"/>
      <c r="U386" s="4"/>
      <c r="V386" s="4"/>
      <c r="W386" s="4"/>
    </row>
    <row r="387" spans="1:23" x14ac:dyDescent="0.2">
      <c r="A387" s="4">
        <v>50</v>
      </c>
      <c r="B387" s="4">
        <v>0</v>
      </c>
      <c r="C387" s="4">
        <v>0</v>
      </c>
      <c r="D387" s="4">
        <v>1</v>
      </c>
      <c r="E387" s="4">
        <v>211</v>
      </c>
      <c r="F387" s="4">
        <f>ROUND(Source!Y361,O387)</f>
        <v>54704.55</v>
      </c>
      <c r="G387" s="4" t="s">
        <v>166</v>
      </c>
      <c r="H387" s="4" t="s">
        <v>167</v>
      </c>
      <c r="I387" s="4"/>
      <c r="J387" s="4"/>
      <c r="K387" s="4">
        <v>211</v>
      </c>
      <c r="L387" s="4">
        <v>25</v>
      </c>
      <c r="M387" s="4">
        <v>3</v>
      </c>
      <c r="N387" s="4" t="s">
        <v>6</v>
      </c>
      <c r="O387" s="4">
        <v>2</v>
      </c>
      <c r="P387" s="4"/>
      <c r="Q387" s="4"/>
      <c r="R387" s="4"/>
      <c r="S387" s="4"/>
      <c r="T387" s="4"/>
      <c r="U387" s="4"/>
      <c r="V387" s="4"/>
      <c r="W387" s="4"/>
    </row>
    <row r="388" spans="1:23" x14ac:dyDescent="0.2">
      <c r="A388" s="4">
        <v>50</v>
      </c>
      <c r="B388" s="4">
        <v>0</v>
      </c>
      <c r="C388" s="4">
        <v>0</v>
      </c>
      <c r="D388" s="4">
        <v>1</v>
      </c>
      <c r="E388" s="4">
        <v>224</v>
      </c>
      <c r="F388" s="4">
        <f>ROUND(Source!AR361,O388)</f>
        <v>1148672.32</v>
      </c>
      <c r="G388" s="4" t="s">
        <v>168</v>
      </c>
      <c r="H388" s="4" t="s">
        <v>169</v>
      </c>
      <c r="I388" s="4"/>
      <c r="J388" s="4"/>
      <c r="K388" s="4">
        <v>224</v>
      </c>
      <c r="L388" s="4">
        <v>26</v>
      </c>
      <c r="M388" s="4">
        <v>3</v>
      </c>
      <c r="N388" s="4" t="s">
        <v>6</v>
      </c>
      <c r="O388" s="4">
        <v>2</v>
      </c>
      <c r="P388" s="4"/>
      <c r="Q388" s="4"/>
      <c r="R388" s="4"/>
      <c r="S388" s="4"/>
      <c r="T388" s="4"/>
      <c r="U388" s="4"/>
      <c r="V388" s="4"/>
      <c r="W388" s="4"/>
    </row>
    <row r="391" spans="1:23" x14ac:dyDescent="0.2">
      <c r="A391">
        <v>70</v>
      </c>
      <c r="B391">
        <v>1</v>
      </c>
      <c r="D391">
        <v>1</v>
      </c>
      <c r="E391" t="s">
        <v>642</v>
      </c>
      <c r="F391" t="s">
        <v>643</v>
      </c>
      <c r="G391">
        <v>0</v>
      </c>
      <c r="H391">
        <v>0</v>
      </c>
      <c r="I391" t="s">
        <v>6</v>
      </c>
      <c r="J391">
        <v>1</v>
      </c>
      <c r="K391">
        <v>0</v>
      </c>
      <c r="L391" t="s">
        <v>6</v>
      </c>
      <c r="M391" t="s">
        <v>6</v>
      </c>
      <c r="N391">
        <v>0</v>
      </c>
    </row>
    <row r="392" spans="1:23" x14ac:dyDescent="0.2">
      <c r="A392">
        <v>70</v>
      </c>
      <c r="B392">
        <v>1</v>
      </c>
      <c r="D392">
        <v>2</v>
      </c>
      <c r="E392" t="s">
        <v>644</v>
      </c>
      <c r="F392" t="s">
        <v>645</v>
      </c>
      <c r="G392">
        <v>1</v>
      </c>
      <c r="H392">
        <v>0</v>
      </c>
      <c r="I392" t="s">
        <v>6</v>
      </c>
      <c r="J392">
        <v>1</v>
      </c>
      <c r="K392">
        <v>0</v>
      </c>
      <c r="L392" t="s">
        <v>6</v>
      </c>
      <c r="M392" t="s">
        <v>6</v>
      </c>
      <c r="N392">
        <v>0</v>
      </c>
    </row>
    <row r="393" spans="1:23" x14ac:dyDescent="0.2">
      <c r="A393">
        <v>70</v>
      </c>
      <c r="B393">
        <v>1</v>
      </c>
      <c r="D393">
        <v>3</v>
      </c>
      <c r="E393" t="s">
        <v>646</v>
      </c>
      <c r="F393" t="s">
        <v>647</v>
      </c>
      <c r="G393">
        <v>0</v>
      </c>
      <c r="H393">
        <v>0</v>
      </c>
      <c r="I393" t="s">
        <v>6</v>
      </c>
      <c r="J393">
        <v>1</v>
      </c>
      <c r="K393">
        <v>0</v>
      </c>
      <c r="L393" t="s">
        <v>6</v>
      </c>
      <c r="M393" t="s">
        <v>6</v>
      </c>
      <c r="N393">
        <v>0</v>
      </c>
    </row>
    <row r="394" spans="1:23" x14ac:dyDescent="0.2">
      <c r="A394">
        <v>70</v>
      </c>
      <c r="B394">
        <v>1</v>
      </c>
      <c r="D394">
        <v>4</v>
      </c>
      <c r="E394" t="s">
        <v>648</v>
      </c>
      <c r="F394" t="s">
        <v>649</v>
      </c>
      <c r="G394">
        <v>0</v>
      </c>
      <c r="H394">
        <v>0</v>
      </c>
      <c r="I394" t="s">
        <v>650</v>
      </c>
      <c r="J394">
        <v>0</v>
      </c>
      <c r="K394">
        <v>0</v>
      </c>
      <c r="L394" t="s">
        <v>6</v>
      </c>
      <c r="M394" t="s">
        <v>6</v>
      </c>
      <c r="N394">
        <v>0</v>
      </c>
    </row>
    <row r="395" spans="1:23" x14ac:dyDescent="0.2">
      <c r="A395">
        <v>70</v>
      </c>
      <c r="B395">
        <v>1</v>
      </c>
      <c r="D395">
        <v>5</v>
      </c>
      <c r="E395" t="s">
        <v>651</v>
      </c>
      <c r="F395" t="s">
        <v>652</v>
      </c>
      <c r="G395">
        <v>0</v>
      </c>
      <c r="H395">
        <v>0</v>
      </c>
      <c r="I395" t="s">
        <v>653</v>
      </c>
      <c r="J395">
        <v>0</v>
      </c>
      <c r="K395">
        <v>0</v>
      </c>
      <c r="L395" t="s">
        <v>6</v>
      </c>
      <c r="M395" t="s">
        <v>6</v>
      </c>
      <c r="N395">
        <v>0</v>
      </c>
    </row>
    <row r="396" spans="1:23" x14ac:dyDescent="0.2">
      <c r="A396">
        <v>70</v>
      </c>
      <c r="B396">
        <v>1</v>
      </c>
      <c r="D396">
        <v>6</v>
      </c>
      <c r="E396" t="s">
        <v>654</v>
      </c>
      <c r="F396" t="s">
        <v>655</v>
      </c>
      <c r="G396">
        <v>0</v>
      </c>
      <c r="H396">
        <v>0</v>
      </c>
      <c r="I396" t="s">
        <v>656</v>
      </c>
      <c r="J396">
        <v>0</v>
      </c>
      <c r="K396">
        <v>0</v>
      </c>
      <c r="L396" t="s">
        <v>6</v>
      </c>
      <c r="M396" t="s">
        <v>6</v>
      </c>
      <c r="N396">
        <v>0</v>
      </c>
    </row>
    <row r="397" spans="1:23" x14ac:dyDescent="0.2">
      <c r="A397">
        <v>70</v>
      </c>
      <c r="B397">
        <v>1</v>
      </c>
      <c r="D397">
        <v>7</v>
      </c>
      <c r="E397" t="s">
        <v>657</v>
      </c>
      <c r="F397" t="s">
        <v>658</v>
      </c>
      <c r="G397">
        <v>0</v>
      </c>
      <c r="H397">
        <v>0</v>
      </c>
      <c r="I397" t="s">
        <v>6</v>
      </c>
      <c r="J397">
        <v>0</v>
      </c>
      <c r="K397">
        <v>0</v>
      </c>
      <c r="L397" t="s">
        <v>6</v>
      </c>
      <c r="M397" t="s">
        <v>6</v>
      </c>
      <c r="N397">
        <v>0</v>
      </c>
    </row>
    <row r="398" spans="1:23" x14ac:dyDescent="0.2">
      <c r="A398">
        <v>70</v>
      </c>
      <c r="B398">
        <v>1</v>
      </c>
      <c r="D398">
        <v>8</v>
      </c>
      <c r="E398" t="s">
        <v>659</v>
      </c>
      <c r="F398" t="s">
        <v>660</v>
      </c>
      <c r="G398">
        <v>0</v>
      </c>
      <c r="H398">
        <v>0</v>
      </c>
      <c r="I398" t="s">
        <v>661</v>
      </c>
      <c r="J398">
        <v>0</v>
      </c>
      <c r="K398">
        <v>0</v>
      </c>
      <c r="L398" t="s">
        <v>6</v>
      </c>
      <c r="M398" t="s">
        <v>6</v>
      </c>
      <c r="N398">
        <v>0</v>
      </c>
    </row>
    <row r="399" spans="1:23" x14ac:dyDescent="0.2">
      <c r="A399">
        <v>70</v>
      </c>
      <c r="B399">
        <v>1</v>
      </c>
      <c r="D399">
        <v>9</v>
      </c>
      <c r="E399" t="s">
        <v>662</v>
      </c>
      <c r="F399" t="s">
        <v>663</v>
      </c>
      <c r="G399">
        <v>0</v>
      </c>
      <c r="H399">
        <v>0</v>
      </c>
      <c r="I399" t="s">
        <v>664</v>
      </c>
      <c r="J399">
        <v>0</v>
      </c>
      <c r="K399">
        <v>0</v>
      </c>
      <c r="L399" t="s">
        <v>6</v>
      </c>
      <c r="M399" t="s">
        <v>6</v>
      </c>
      <c r="N399">
        <v>0</v>
      </c>
    </row>
    <row r="400" spans="1:23" x14ac:dyDescent="0.2">
      <c r="A400">
        <v>70</v>
      </c>
      <c r="B400">
        <v>1</v>
      </c>
      <c r="D400">
        <v>10</v>
      </c>
      <c r="E400" t="s">
        <v>665</v>
      </c>
      <c r="F400" t="s">
        <v>666</v>
      </c>
      <c r="G400">
        <v>0</v>
      </c>
      <c r="H400">
        <v>0</v>
      </c>
      <c r="I400" t="s">
        <v>667</v>
      </c>
      <c r="J400">
        <v>0</v>
      </c>
      <c r="K400">
        <v>0</v>
      </c>
      <c r="L400" t="s">
        <v>6</v>
      </c>
      <c r="M400" t="s">
        <v>6</v>
      </c>
      <c r="N400">
        <v>0</v>
      </c>
    </row>
    <row r="401" spans="1:14" x14ac:dyDescent="0.2">
      <c r="A401">
        <v>70</v>
      </c>
      <c r="B401">
        <v>1</v>
      </c>
      <c r="D401">
        <v>11</v>
      </c>
      <c r="E401" t="s">
        <v>668</v>
      </c>
      <c r="F401" t="s">
        <v>669</v>
      </c>
      <c r="G401">
        <v>0</v>
      </c>
      <c r="H401">
        <v>0</v>
      </c>
      <c r="I401" t="s">
        <v>670</v>
      </c>
      <c r="J401">
        <v>0</v>
      </c>
      <c r="K401">
        <v>0</v>
      </c>
      <c r="L401" t="s">
        <v>6</v>
      </c>
      <c r="M401" t="s">
        <v>6</v>
      </c>
      <c r="N401">
        <v>0</v>
      </c>
    </row>
    <row r="402" spans="1:14" x14ac:dyDescent="0.2">
      <c r="A402">
        <v>70</v>
      </c>
      <c r="B402">
        <v>1</v>
      </c>
      <c r="D402">
        <v>12</v>
      </c>
      <c r="E402" t="s">
        <v>671</v>
      </c>
      <c r="F402" t="s">
        <v>672</v>
      </c>
      <c r="G402">
        <v>0</v>
      </c>
      <c r="H402">
        <v>0</v>
      </c>
      <c r="I402" t="s">
        <v>6</v>
      </c>
      <c r="J402">
        <v>0</v>
      </c>
      <c r="K402">
        <v>0</v>
      </c>
      <c r="L402" t="s">
        <v>6</v>
      </c>
      <c r="M402" t="s">
        <v>6</v>
      </c>
      <c r="N402">
        <v>0</v>
      </c>
    </row>
    <row r="403" spans="1:14" x14ac:dyDescent="0.2">
      <c r="A403">
        <v>70</v>
      </c>
      <c r="B403">
        <v>1</v>
      </c>
      <c r="D403">
        <v>1</v>
      </c>
      <c r="E403" t="s">
        <v>673</v>
      </c>
      <c r="F403" t="s">
        <v>674</v>
      </c>
      <c r="G403">
        <v>0.9</v>
      </c>
      <c r="H403">
        <v>1</v>
      </c>
      <c r="I403" t="s">
        <v>675</v>
      </c>
      <c r="J403">
        <v>0</v>
      </c>
      <c r="K403">
        <v>0</v>
      </c>
      <c r="L403" t="s">
        <v>6</v>
      </c>
      <c r="M403" t="s">
        <v>6</v>
      </c>
      <c r="N403">
        <v>0</v>
      </c>
    </row>
    <row r="404" spans="1:14" x14ac:dyDescent="0.2">
      <c r="A404">
        <v>70</v>
      </c>
      <c r="B404">
        <v>1</v>
      </c>
      <c r="D404">
        <v>2</v>
      </c>
      <c r="E404" t="s">
        <v>676</v>
      </c>
      <c r="F404" t="s">
        <v>677</v>
      </c>
      <c r="G404">
        <v>0.85</v>
      </c>
      <c r="H404">
        <v>1</v>
      </c>
      <c r="I404" t="s">
        <v>678</v>
      </c>
      <c r="J404">
        <v>0</v>
      </c>
      <c r="K404">
        <v>0</v>
      </c>
      <c r="L404" t="s">
        <v>6</v>
      </c>
      <c r="M404" t="s">
        <v>6</v>
      </c>
      <c r="N404">
        <v>0</v>
      </c>
    </row>
    <row r="405" spans="1:14" x14ac:dyDescent="0.2">
      <c r="A405">
        <v>70</v>
      </c>
      <c r="B405">
        <v>1</v>
      </c>
      <c r="D405">
        <v>3</v>
      </c>
      <c r="E405" t="s">
        <v>679</v>
      </c>
      <c r="F405" t="s">
        <v>680</v>
      </c>
      <c r="G405">
        <v>1</v>
      </c>
      <c r="H405">
        <v>0.85</v>
      </c>
      <c r="I405" t="s">
        <v>681</v>
      </c>
      <c r="J405">
        <v>0</v>
      </c>
      <c r="K405">
        <v>0</v>
      </c>
      <c r="L405" t="s">
        <v>6</v>
      </c>
      <c r="M405" t="s">
        <v>6</v>
      </c>
      <c r="N405">
        <v>0</v>
      </c>
    </row>
    <row r="406" spans="1:14" x14ac:dyDescent="0.2">
      <c r="A406">
        <v>70</v>
      </c>
      <c r="B406">
        <v>1</v>
      </c>
      <c r="D406">
        <v>4</v>
      </c>
      <c r="E406" t="s">
        <v>682</v>
      </c>
      <c r="F406" t="s">
        <v>683</v>
      </c>
      <c r="G406">
        <v>1</v>
      </c>
      <c r="H406">
        <v>0</v>
      </c>
      <c r="I406" t="s">
        <v>6</v>
      </c>
      <c r="J406">
        <v>0</v>
      </c>
      <c r="K406">
        <v>0</v>
      </c>
      <c r="L406" t="s">
        <v>6</v>
      </c>
      <c r="M406" t="s">
        <v>6</v>
      </c>
      <c r="N406">
        <v>0</v>
      </c>
    </row>
    <row r="407" spans="1:14" x14ac:dyDescent="0.2">
      <c r="A407">
        <v>70</v>
      </c>
      <c r="B407">
        <v>1</v>
      </c>
      <c r="D407">
        <v>5</v>
      </c>
      <c r="E407" t="s">
        <v>684</v>
      </c>
      <c r="F407" t="s">
        <v>685</v>
      </c>
      <c r="G407">
        <v>1</v>
      </c>
      <c r="H407">
        <v>0.8</v>
      </c>
      <c r="I407" t="s">
        <v>686</v>
      </c>
      <c r="J407">
        <v>0</v>
      </c>
      <c r="K407">
        <v>0</v>
      </c>
      <c r="L407" t="s">
        <v>6</v>
      </c>
      <c r="M407" t="s">
        <v>6</v>
      </c>
      <c r="N407">
        <v>0</v>
      </c>
    </row>
    <row r="408" spans="1:14" x14ac:dyDescent="0.2">
      <c r="A408">
        <v>70</v>
      </c>
      <c r="B408">
        <v>1</v>
      </c>
      <c r="D408">
        <v>6</v>
      </c>
      <c r="E408" t="s">
        <v>687</v>
      </c>
      <c r="F408" t="s">
        <v>688</v>
      </c>
      <c r="G408">
        <v>0.85</v>
      </c>
      <c r="H408">
        <v>0</v>
      </c>
      <c r="I408" t="s">
        <v>6</v>
      </c>
      <c r="J408">
        <v>0</v>
      </c>
      <c r="K408">
        <v>0</v>
      </c>
      <c r="L408" t="s">
        <v>6</v>
      </c>
      <c r="M408" t="s">
        <v>6</v>
      </c>
      <c r="N408">
        <v>0</v>
      </c>
    </row>
    <row r="409" spans="1:14" x14ac:dyDescent="0.2">
      <c r="A409">
        <v>70</v>
      </c>
      <c r="B409">
        <v>1</v>
      </c>
      <c r="D409">
        <v>7</v>
      </c>
      <c r="E409" t="s">
        <v>689</v>
      </c>
      <c r="F409" t="s">
        <v>690</v>
      </c>
      <c r="G409">
        <v>0.8</v>
      </c>
      <c r="H409">
        <v>0</v>
      </c>
      <c r="I409" t="s">
        <v>6</v>
      </c>
      <c r="J409">
        <v>0</v>
      </c>
      <c r="K409">
        <v>0</v>
      </c>
      <c r="L409" t="s">
        <v>6</v>
      </c>
      <c r="M409" t="s">
        <v>6</v>
      </c>
      <c r="N409">
        <v>0</v>
      </c>
    </row>
    <row r="410" spans="1:14" x14ac:dyDescent="0.2">
      <c r="A410">
        <v>70</v>
      </c>
      <c r="B410">
        <v>1</v>
      </c>
      <c r="D410">
        <v>8</v>
      </c>
      <c r="E410" t="s">
        <v>691</v>
      </c>
      <c r="F410" t="s">
        <v>692</v>
      </c>
      <c r="G410">
        <v>0.94</v>
      </c>
      <c r="H410">
        <v>0</v>
      </c>
      <c r="I410" t="s">
        <v>6</v>
      </c>
      <c r="J410">
        <v>0</v>
      </c>
      <c r="K410">
        <v>0</v>
      </c>
      <c r="L410" t="s">
        <v>6</v>
      </c>
      <c r="M410" t="s">
        <v>6</v>
      </c>
      <c r="N410">
        <v>0</v>
      </c>
    </row>
    <row r="411" spans="1:14" x14ac:dyDescent="0.2">
      <c r="A411">
        <v>70</v>
      </c>
      <c r="B411">
        <v>1</v>
      </c>
      <c r="D411">
        <v>9</v>
      </c>
      <c r="E411" t="s">
        <v>693</v>
      </c>
      <c r="F411" t="s">
        <v>694</v>
      </c>
      <c r="G411">
        <v>0.9</v>
      </c>
      <c r="H411">
        <v>0</v>
      </c>
      <c r="I411" t="s">
        <v>6</v>
      </c>
      <c r="J411">
        <v>0</v>
      </c>
      <c r="K411">
        <v>0</v>
      </c>
      <c r="L411" t="s">
        <v>6</v>
      </c>
      <c r="M411" t="s">
        <v>6</v>
      </c>
      <c r="N411">
        <v>0</v>
      </c>
    </row>
    <row r="412" spans="1:14" x14ac:dyDescent="0.2">
      <c r="A412">
        <v>70</v>
      </c>
      <c r="B412">
        <v>1</v>
      </c>
      <c r="D412">
        <v>10</v>
      </c>
      <c r="E412" t="s">
        <v>695</v>
      </c>
      <c r="F412" t="s">
        <v>696</v>
      </c>
      <c r="G412">
        <v>0.6</v>
      </c>
      <c r="H412">
        <v>0</v>
      </c>
      <c r="I412" t="s">
        <v>6</v>
      </c>
      <c r="J412">
        <v>0</v>
      </c>
      <c r="K412">
        <v>0</v>
      </c>
      <c r="L412" t="s">
        <v>6</v>
      </c>
      <c r="M412" t="s">
        <v>6</v>
      </c>
      <c r="N412">
        <v>0</v>
      </c>
    </row>
    <row r="413" spans="1:14" x14ac:dyDescent="0.2">
      <c r="A413">
        <v>70</v>
      </c>
      <c r="B413">
        <v>1</v>
      </c>
      <c r="D413">
        <v>11</v>
      </c>
      <c r="E413" t="s">
        <v>697</v>
      </c>
      <c r="F413" t="s">
        <v>698</v>
      </c>
      <c r="G413">
        <v>1.2</v>
      </c>
      <c r="H413">
        <v>0</v>
      </c>
      <c r="I413" t="s">
        <v>6</v>
      </c>
      <c r="J413">
        <v>0</v>
      </c>
      <c r="K413">
        <v>0</v>
      </c>
      <c r="L413" t="s">
        <v>6</v>
      </c>
      <c r="M413" t="s">
        <v>6</v>
      </c>
      <c r="N413">
        <v>0</v>
      </c>
    </row>
    <row r="414" spans="1:14" x14ac:dyDescent="0.2">
      <c r="A414">
        <v>70</v>
      </c>
      <c r="B414">
        <v>1</v>
      </c>
      <c r="D414">
        <v>12</v>
      </c>
      <c r="E414" t="s">
        <v>699</v>
      </c>
      <c r="F414" t="s">
        <v>700</v>
      </c>
      <c r="G414">
        <v>0</v>
      </c>
      <c r="H414">
        <v>0</v>
      </c>
      <c r="I414" t="s">
        <v>6</v>
      </c>
      <c r="J414">
        <v>0</v>
      </c>
      <c r="K414">
        <v>0</v>
      </c>
      <c r="L414" t="s">
        <v>6</v>
      </c>
      <c r="M414" t="s">
        <v>6</v>
      </c>
      <c r="N414">
        <v>0</v>
      </c>
    </row>
    <row r="415" spans="1:14" x14ac:dyDescent="0.2">
      <c r="A415">
        <v>70</v>
      </c>
      <c r="B415">
        <v>1</v>
      </c>
      <c r="D415">
        <v>13</v>
      </c>
      <c r="E415" t="s">
        <v>701</v>
      </c>
      <c r="F415" t="s">
        <v>702</v>
      </c>
      <c r="G415">
        <v>0.94</v>
      </c>
      <c r="H415">
        <v>0</v>
      </c>
      <c r="I415" t="s">
        <v>6</v>
      </c>
      <c r="J415">
        <v>0</v>
      </c>
      <c r="K415">
        <v>0</v>
      </c>
      <c r="L415" t="s">
        <v>6</v>
      </c>
      <c r="M415" t="s">
        <v>6</v>
      </c>
      <c r="N415">
        <v>0</v>
      </c>
    </row>
    <row r="417" spans="1:34" x14ac:dyDescent="0.2">
      <c r="A417">
        <v>-1</v>
      </c>
    </row>
    <row r="419" spans="1:34" x14ac:dyDescent="0.2">
      <c r="A419" s="3">
        <v>75</v>
      </c>
      <c r="B419" s="3" t="s">
        <v>703</v>
      </c>
      <c r="C419" s="3">
        <v>2018</v>
      </c>
      <c r="D419" s="3">
        <v>3</v>
      </c>
      <c r="E419" s="3">
        <v>0</v>
      </c>
      <c r="F419" s="3">
        <v>0</v>
      </c>
      <c r="G419" s="3">
        <v>0</v>
      </c>
      <c r="H419" s="3">
        <v>1</v>
      </c>
      <c r="I419" s="3">
        <v>0</v>
      </c>
      <c r="J419" s="3">
        <v>1</v>
      </c>
      <c r="K419" s="3">
        <v>0</v>
      </c>
      <c r="L419" s="3">
        <v>0</v>
      </c>
      <c r="M419" s="3">
        <v>0</v>
      </c>
      <c r="N419" s="3">
        <v>16808636</v>
      </c>
      <c r="O419" s="3">
        <v>1</v>
      </c>
    </row>
    <row r="420" spans="1:34" x14ac:dyDescent="0.2">
      <c r="A420" s="5">
        <v>3</v>
      </c>
      <c r="B420" s="5" t="s">
        <v>704</v>
      </c>
      <c r="C420" s="5">
        <v>6.71</v>
      </c>
      <c r="D420" s="5">
        <v>1</v>
      </c>
      <c r="E420" s="5">
        <v>1</v>
      </c>
      <c r="F420" s="5">
        <v>1</v>
      </c>
      <c r="G420" s="5">
        <v>1</v>
      </c>
      <c r="H420" s="5">
        <v>1</v>
      </c>
      <c r="I420" s="5">
        <v>1</v>
      </c>
      <c r="J420" s="5">
        <v>1</v>
      </c>
      <c r="K420" s="5">
        <v>19.39</v>
      </c>
      <c r="L420" s="5">
        <v>1</v>
      </c>
      <c r="M420" s="5">
        <v>6.71</v>
      </c>
      <c r="N420" s="5">
        <v>1</v>
      </c>
      <c r="O420" s="5">
        <v>1</v>
      </c>
      <c r="P420" s="5">
        <v>1</v>
      </c>
      <c r="Q420" s="5">
        <v>19.39</v>
      </c>
      <c r="R420" s="5">
        <v>1</v>
      </c>
      <c r="S420" s="5" t="s">
        <v>6</v>
      </c>
      <c r="T420" s="5" t="s">
        <v>6</v>
      </c>
      <c r="U420" s="5" t="s">
        <v>6</v>
      </c>
      <c r="V420" s="5" t="s">
        <v>6</v>
      </c>
      <c r="W420" s="5" t="s">
        <v>6</v>
      </c>
      <c r="X420" s="5" t="s">
        <v>6</v>
      </c>
      <c r="Y420" s="5" t="s">
        <v>6</v>
      </c>
      <c r="Z420" s="5" t="s">
        <v>6</v>
      </c>
      <c r="AA420" s="5" t="s">
        <v>6</v>
      </c>
      <c r="AB420" s="5" t="s">
        <v>6</v>
      </c>
      <c r="AC420" s="5" t="s">
        <v>6</v>
      </c>
      <c r="AD420" s="5" t="s">
        <v>6</v>
      </c>
      <c r="AE420" s="5" t="s">
        <v>6</v>
      </c>
      <c r="AF420" s="5" t="s">
        <v>6</v>
      </c>
      <c r="AG420" s="5" t="s">
        <v>6</v>
      </c>
      <c r="AH420" s="5" t="s">
        <v>6</v>
      </c>
    </row>
    <row r="424" spans="1:34" x14ac:dyDescent="0.2">
      <c r="A424">
        <v>65</v>
      </c>
      <c r="C424">
        <v>1</v>
      </c>
      <c r="D424">
        <v>0</v>
      </c>
      <c r="E424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705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8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17301512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16808636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12</v>
      </c>
      <c r="D16" s="6" t="s">
        <v>12</v>
      </c>
      <c r="E16" s="7">
        <f>(Source!F346)/1000</f>
        <v>760.50838999999996</v>
      </c>
      <c r="F16" s="7">
        <f>(Source!F347)/1000</f>
        <v>341.92095</v>
      </c>
      <c r="G16" s="7">
        <f>(Source!F338)/1000</f>
        <v>0</v>
      </c>
      <c r="H16" s="7">
        <f>(Source!F348)/1000+(Source!F349)/1000</f>
        <v>46.242980000000003</v>
      </c>
      <c r="I16" s="7">
        <f>E16+F16+G16+H16</f>
        <v>1148.6723199999999</v>
      </c>
      <c r="J16" s="7">
        <f>(Source!F344)/1000</f>
        <v>96.4846</v>
      </c>
      <c r="AI16" s="6">
        <v>0</v>
      </c>
      <c r="AJ16" s="6">
        <v>0</v>
      </c>
      <c r="AK16" s="6" t="s">
        <v>6</v>
      </c>
      <c r="AL16" s="6" t="s">
        <v>6</v>
      </c>
      <c r="AM16" s="6" t="s">
        <v>6</v>
      </c>
      <c r="AN16" s="6">
        <v>0</v>
      </c>
      <c r="AO16" s="6" t="s">
        <v>6</v>
      </c>
      <c r="AP16" s="6" t="s">
        <v>6</v>
      </c>
      <c r="AT16" s="7">
        <v>1006235.74</v>
      </c>
      <c r="AU16" s="7">
        <v>902976.05</v>
      </c>
      <c r="AV16" s="7">
        <v>0</v>
      </c>
      <c r="AW16" s="7">
        <v>0</v>
      </c>
      <c r="AX16" s="7">
        <v>0</v>
      </c>
      <c r="AY16" s="7">
        <v>6775.09</v>
      </c>
      <c r="AZ16" s="7">
        <v>1463.02</v>
      </c>
      <c r="BA16" s="7">
        <v>96484.6</v>
      </c>
      <c r="BB16" s="7">
        <v>760508.39</v>
      </c>
      <c r="BC16" s="7">
        <v>341920.95</v>
      </c>
      <c r="BD16" s="7">
        <v>46242.98</v>
      </c>
      <c r="BE16" s="7">
        <v>0</v>
      </c>
      <c r="BF16" s="7">
        <v>1332.7117816999998</v>
      </c>
      <c r="BG16" s="7">
        <v>17.025968999999996</v>
      </c>
      <c r="BH16" s="7">
        <v>0</v>
      </c>
      <c r="BI16" s="7">
        <v>86927.03</v>
      </c>
      <c r="BJ16" s="7">
        <v>54704.55</v>
      </c>
      <c r="BK16" s="7">
        <v>1355433.34</v>
      </c>
    </row>
    <row r="18" spans="1:19" x14ac:dyDescent="0.2">
      <c r="A18">
        <v>51</v>
      </c>
      <c r="E18" s="8">
        <f>SUMIF(A16:A17,3,E16:E17)</f>
        <v>760.50838999999996</v>
      </c>
      <c r="F18" s="8">
        <f>SUMIF(A16:A17,3,F16:F17)</f>
        <v>341.92095</v>
      </c>
      <c r="G18" s="8">
        <f>SUMIF(A16:A17,3,G16:G17)</f>
        <v>0</v>
      </c>
      <c r="H18" s="8">
        <f>SUMIF(A16:A17,3,H16:H17)</f>
        <v>46.242980000000003</v>
      </c>
      <c r="I18" s="8">
        <f>SUMIF(A16:A17,3,I16:I17)</f>
        <v>1148.6723199999999</v>
      </c>
      <c r="J18" s="8">
        <f>SUMIF(A16:A17,3,J16:J17)</f>
        <v>96.4846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1006235.74</v>
      </c>
      <c r="G20" s="4" t="s">
        <v>118</v>
      </c>
      <c r="H20" s="4" t="s">
        <v>119</v>
      </c>
      <c r="I20" s="4"/>
      <c r="J20" s="4"/>
      <c r="K20" s="4">
        <v>201</v>
      </c>
      <c r="L20" s="4">
        <v>1</v>
      </c>
      <c r="M20" s="4">
        <v>3</v>
      </c>
      <c r="N20" s="4" t="s">
        <v>6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902976.05</v>
      </c>
      <c r="G21" s="4" t="s">
        <v>120</v>
      </c>
      <c r="H21" s="4" t="s">
        <v>121</v>
      </c>
      <c r="I21" s="4"/>
      <c r="J21" s="4"/>
      <c r="K21" s="4">
        <v>202</v>
      </c>
      <c r="L21" s="4">
        <v>2</v>
      </c>
      <c r="M21" s="4">
        <v>3</v>
      </c>
      <c r="N21" s="4" t="s">
        <v>6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122</v>
      </c>
      <c r="H22" s="4" t="s">
        <v>123</v>
      </c>
      <c r="I22" s="4"/>
      <c r="J22" s="4"/>
      <c r="K22" s="4">
        <v>222</v>
      </c>
      <c r="L22" s="4">
        <v>3</v>
      </c>
      <c r="M22" s="4">
        <v>3</v>
      </c>
      <c r="N22" s="4" t="s">
        <v>6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902976.05</v>
      </c>
      <c r="G23" s="4" t="s">
        <v>124</v>
      </c>
      <c r="H23" s="4" t="s">
        <v>125</v>
      </c>
      <c r="I23" s="4"/>
      <c r="J23" s="4"/>
      <c r="K23" s="4">
        <v>225</v>
      </c>
      <c r="L23" s="4">
        <v>4</v>
      </c>
      <c r="M23" s="4">
        <v>3</v>
      </c>
      <c r="N23" s="4" t="s">
        <v>6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902976.05</v>
      </c>
      <c r="G24" s="4" t="s">
        <v>126</v>
      </c>
      <c r="H24" s="4" t="s">
        <v>127</v>
      </c>
      <c r="I24" s="4"/>
      <c r="J24" s="4"/>
      <c r="K24" s="4">
        <v>226</v>
      </c>
      <c r="L24" s="4">
        <v>5</v>
      </c>
      <c r="M24" s="4">
        <v>3</v>
      </c>
      <c r="N24" s="4" t="s">
        <v>6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128</v>
      </c>
      <c r="H25" s="4" t="s">
        <v>129</v>
      </c>
      <c r="I25" s="4"/>
      <c r="J25" s="4"/>
      <c r="K25" s="4">
        <v>227</v>
      </c>
      <c r="L25" s="4">
        <v>6</v>
      </c>
      <c r="M25" s="4">
        <v>3</v>
      </c>
      <c r="N25" s="4" t="s">
        <v>6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902976.05</v>
      </c>
      <c r="G26" s="4" t="s">
        <v>130</v>
      </c>
      <c r="H26" s="4" t="s">
        <v>131</v>
      </c>
      <c r="I26" s="4"/>
      <c r="J26" s="4"/>
      <c r="K26" s="4">
        <v>228</v>
      </c>
      <c r="L26" s="4">
        <v>7</v>
      </c>
      <c r="M26" s="4">
        <v>3</v>
      </c>
      <c r="N26" s="4" t="s">
        <v>6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132</v>
      </c>
      <c r="H27" s="4" t="s">
        <v>133</v>
      </c>
      <c r="I27" s="4"/>
      <c r="J27" s="4"/>
      <c r="K27" s="4">
        <v>216</v>
      </c>
      <c r="L27" s="4">
        <v>8</v>
      </c>
      <c r="M27" s="4">
        <v>3</v>
      </c>
      <c r="N27" s="4" t="s">
        <v>6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134</v>
      </c>
      <c r="H28" s="4" t="s">
        <v>135</v>
      </c>
      <c r="I28" s="4"/>
      <c r="J28" s="4"/>
      <c r="K28" s="4">
        <v>223</v>
      </c>
      <c r="L28" s="4">
        <v>9</v>
      </c>
      <c r="M28" s="4">
        <v>3</v>
      </c>
      <c r="N28" s="4" t="s">
        <v>6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136</v>
      </c>
      <c r="H29" s="4" t="s">
        <v>137</v>
      </c>
      <c r="I29" s="4"/>
      <c r="J29" s="4"/>
      <c r="K29" s="4">
        <v>229</v>
      </c>
      <c r="L29" s="4">
        <v>10</v>
      </c>
      <c r="M29" s="4">
        <v>3</v>
      </c>
      <c r="N29" s="4" t="s">
        <v>6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6775.09</v>
      </c>
      <c r="G30" s="4" t="s">
        <v>138</v>
      </c>
      <c r="H30" s="4" t="s">
        <v>139</v>
      </c>
      <c r="I30" s="4"/>
      <c r="J30" s="4"/>
      <c r="K30" s="4">
        <v>203</v>
      </c>
      <c r="L30" s="4">
        <v>11</v>
      </c>
      <c r="M30" s="4">
        <v>3</v>
      </c>
      <c r="N30" s="4" t="s">
        <v>6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140</v>
      </c>
      <c r="H31" s="4" t="s">
        <v>141</v>
      </c>
      <c r="I31" s="4"/>
      <c r="J31" s="4"/>
      <c r="K31" s="4">
        <v>231</v>
      </c>
      <c r="L31" s="4">
        <v>12</v>
      </c>
      <c r="M31" s="4">
        <v>3</v>
      </c>
      <c r="N31" s="4" t="s">
        <v>6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1463.02</v>
      </c>
      <c r="G32" s="4" t="s">
        <v>142</v>
      </c>
      <c r="H32" s="4" t="s">
        <v>143</v>
      </c>
      <c r="I32" s="4"/>
      <c r="J32" s="4"/>
      <c r="K32" s="4">
        <v>204</v>
      </c>
      <c r="L32" s="4">
        <v>13</v>
      </c>
      <c r="M32" s="4">
        <v>3</v>
      </c>
      <c r="N32" s="4" t="s">
        <v>6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96484.6</v>
      </c>
      <c r="G33" s="4" t="s">
        <v>144</v>
      </c>
      <c r="H33" s="4" t="s">
        <v>145</v>
      </c>
      <c r="I33" s="4"/>
      <c r="J33" s="4"/>
      <c r="K33" s="4">
        <v>205</v>
      </c>
      <c r="L33" s="4">
        <v>14</v>
      </c>
      <c r="M33" s="4">
        <v>3</v>
      </c>
      <c r="N33" s="4" t="s">
        <v>6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146</v>
      </c>
      <c r="H34" s="4" t="s">
        <v>147</v>
      </c>
      <c r="I34" s="4"/>
      <c r="J34" s="4"/>
      <c r="K34" s="4">
        <v>232</v>
      </c>
      <c r="L34" s="4">
        <v>15</v>
      </c>
      <c r="M34" s="4">
        <v>3</v>
      </c>
      <c r="N34" s="4" t="s">
        <v>6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760508.39</v>
      </c>
      <c r="G35" s="4" t="s">
        <v>148</v>
      </c>
      <c r="H35" s="4" t="s">
        <v>149</v>
      </c>
      <c r="I35" s="4"/>
      <c r="J35" s="4"/>
      <c r="K35" s="4">
        <v>214</v>
      </c>
      <c r="L35" s="4">
        <v>16</v>
      </c>
      <c r="M35" s="4">
        <v>3</v>
      </c>
      <c r="N35" s="4" t="s">
        <v>6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341920.95</v>
      </c>
      <c r="G36" s="4" t="s">
        <v>150</v>
      </c>
      <c r="H36" s="4" t="s">
        <v>151</v>
      </c>
      <c r="I36" s="4"/>
      <c r="J36" s="4"/>
      <c r="K36" s="4">
        <v>215</v>
      </c>
      <c r="L36" s="4">
        <v>17</v>
      </c>
      <c r="M36" s="4">
        <v>3</v>
      </c>
      <c r="N36" s="4" t="s">
        <v>6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46242.98</v>
      </c>
      <c r="G37" s="4" t="s">
        <v>152</v>
      </c>
      <c r="H37" s="4" t="s">
        <v>153</v>
      </c>
      <c r="I37" s="4"/>
      <c r="J37" s="4"/>
      <c r="K37" s="4">
        <v>217</v>
      </c>
      <c r="L37" s="4">
        <v>18</v>
      </c>
      <c r="M37" s="4">
        <v>3</v>
      </c>
      <c r="N37" s="4" t="s">
        <v>6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154</v>
      </c>
      <c r="H38" s="4" t="s">
        <v>155</v>
      </c>
      <c r="I38" s="4"/>
      <c r="J38" s="4"/>
      <c r="K38" s="4">
        <v>230</v>
      </c>
      <c r="L38" s="4">
        <v>19</v>
      </c>
      <c r="M38" s="4">
        <v>3</v>
      </c>
      <c r="N38" s="4" t="s">
        <v>6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156</v>
      </c>
      <c r="H39" s="4" t="s">
        <v>157</v>
      </c>
      <c r="I39" s="4"/>
      <c r="J39" s="4"/>
      <c r="K39" s="4">
        <v>206</v>
      </c>
      <c r="L39" s="4">
        <v>20</v>
      </c>
      <c r="M39" s="4">
        <v>3</v>
      </c>
      <c r="N39" s="4" t="s">
        <v>6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1332.7117816999998</v>
      </c>
      <c r="G40" s="4" t="s">
        <v>158</v>
      </c>
      <c r="H40" s="4" t="s">
        <v>159</v>
      </c>
      <c r="I40" s="4"/>
      <c r="J40" s="4"/>
      <c r="K40" s="4">
        <v>207</v>
      </c>
      <c r="L40" s="4">
        <v>21</v>
      </c>
      <c r="M40" s="4">
        <v>3</v>
      </c>
      <c r="N40" s="4" t="s">
        <v>6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17.025968999999996</v>
      </c>
      <c r="G41" s="4" t="s">
        <v>160</v>
      </c>
      <c r="H41" s="4" t="s">
        <v>161</v>
      </c>
      <c r="I41" s="4"/>
      <c r="J41" s="4"/>
      <c r="K41" s="4">
        <v>208</v>
      </c>
      <c r="L41" s="4">
        <v>22</v>
      </c>
      <c r="M41" s="4">
        <v>3</v>
      </c>
      <c r="N41" s="4" t="s">
        <v>6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162</v>
      </c>
      <c r="H42" s="4" t="s">
        <v>163</v>
      </c>
      <c r="I42" s="4"/>
      <c r="J42" s="4"/>
      <c r="K42" s="4">
        <v>209</v>
      </c>
      <c r="L42" s="4">
        <v>23</v>
      </c>
      <c r="M42" s="4">
        <v>3</v>
      </c>
      <c r="N42" s="4" t="s">
        <v>6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86927.03</v>
      </c>
      <c r="G43" s="4" t="s">
        <v>164</v>
      </c>
      <c r="H43" s="4" t="s">
        <v>165</v>
      </c>
      <c r="I43" s="4"/>
      <c r="J43" s="4"/>
      <c r="K43" s="4">
        <v>210</v>
      </c>
      <c r="L43" s="4">
        <v>24</v>
      </c>
      <c r="M43" s="4">
        <v>3</v>
      </c>
      <c r="N43" s="4" t="s">
        <v>6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54704.55</v>
      </c>
      <c r="G44" s="4" t="s">
        <v>166</v>
      </c>
      <c r="H44" s="4" t="s">
        <v>167</v>
      </c>
      <c r="I44" s="4"/>
      <c r="J44" s="4"/>
      <c r="K44" s="4">
        <v>211</v>
      </c>
      <c r="L44" s="4">
        <v>25</v>
      </c>
      <c r="M44" s="4">
        <v>3</v>
      </c>
      <c r="N44" s="4" t="s">
        <v>6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1148672.32</v>
      </c>
      <c r="G45" s="4" t="s">
        <v>168</v>
      </c>
      <c r="H45" s="4" t="s">
        <v>169</v>
      </c>
      <c r="I45" s="4"/>
      <c r="J45" s="4"/>
      <c r="K45" s="4">
        <v>224</v>
      </c>
      <c r="L45" s="4">
        <v>26</v>
      </c>
      <c r="M45" s="4">
        <v>3</v>
      </c>
      <c r="N45" s="4" t="s">
        <v>6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703</v>
      </c>
      <c r="C50" s="3">
        <v>2018</v>
      </c>
      <c r="D50" s="3">
        <v>3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16808636</v>
      </c>
      <c r="O50" s="3">
        <v>1</v>
      </c>
    </row>
    <row r="51" spans="1:34" x14ac:dyDescent="0.2">
      <c r="A51" s="5">
        <v>3</v>
      </c>
      <c r="B51" s="5" t="s">
        <v>704</v>
      </c>
      <c r="C51" s="5">
        <v>6.71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19.39</v>
      </c>
      <c r="L51" s="5">
        <v>1</v>
      </c>
      <c r="M51" s="5">
        <v>6.71</v>
      </c>
      <c r="N51" s="5">
        <v>1</v>
      </c>
      <c r="O51" s="5">
        <v>1</v>
      </c>
      <c r="P51" s="5">
        <v>1</v>
      </c>
      <c r="Q51" s="5">
        <v>19.39</v>
      </c>
      <c r="R51" s="5">
        <v>1</v>
      </c>
      <c r="S51" s="5" t="s">
        <v>6</v>
      </c>
      <c r="T51" s="5" t="s">
        <v>6</v>
      </c>
      <c r="U51" s="5" t="s">
        <v>6</v>
      </c>
      <c r="V51" s="5" t="s">
        <v>6</v>
      </c>
      <c r="W51" s="5" t="s">
        <v>6</v>
      </c>
      <c r="X51" s="5" t="s">
        <v>6</v>
      </c>
      <c r="Y51" s="5" t="s">
        <v>6</v>
      </c>
      <c r="Z51" s="5" t="s">
        <v>6</v>
      </c>
      <c r="AA51" s="5" t="s">
        <v>6</v>
      </c>
      <c r="AB51" s="5" t="s">
        <v>6</v>
      </c>
      <c r="AC51" s="5" t="s">
        <v>6</v>
      </c>
      <c r="AD51" s="5" t="s">
        <v>6</v>
      </c>
      <c r="AE51" s="5" t="s">
        <v>6</v>
      </c>
      <c r="AF51" s="5" t="s">
        <v>6</v>
      </c>
      <c r="AG51" s="5" t="s">
        <v>6</v>
      </c>
      <c r="AH51" s="5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41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ROW(Source!A28)</f>
        <v>28</v>
      </c>
      <c r="B1">
        <v>16808636</v>
      </c>
      <c r="C1">
        <v>16810117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706</v>
      </c>
      <c r="J1" t="s">
        <v>6</v>
      </c>
      <c r="K1" t="s">
        <v>707</v>
      </c>
      <c r="L1">
        <v>1191</v>
      </c>
      <c r="N1">
        <v>1013</v>
      </c>
      <c r="O1" t="s">
        <v>708</v>
      </c>
      <c r="P1" t="s">
        <v>708</v>
      </c>
      <c r="Q1">
        <v>1</v>
      </c>
      <c r="W1">
        <v>0</v>
      </c>
      <c r="X1">
        <v>371339561</v>
      </c>
      <c r="Y1">
        <v>103.91</v>
      </c>
      <c r="AA1">
        <v>0</v>
      </c>
      <c r="AB1">
        <v>0</v>
      </c>
      <c r="AC1">
        <v>0</v>
      </c>
      <c r="AD1">
        <v>54.28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6.71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103.91</v>
      </c>
      <c r="AU1" t="s">
        <v>6</v>
      </c>
      <c r="AV1">
        <v>1</v>
      </c>
      <c r="AW1">
        <v>2</v>
      </c>
      <c r="AX1">
        <v>16810121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9.8194949999999999</v>
      </c>
      <c r="CY1">
        <f>AD1</f>
        <v>54.28</v>
      </c>
      <c r="CZ1">
        <f>AH1</f>
        <v>8.09</v>
      </c>
      <c r="DA1">
        <f>AL1</f>
        <v>6.71</v>
      </c>
      <c r="DB1">
        <f t="shared" ref="DB1:DB10" si="0">ROUND(ROUND(AT1*CZ1,2),2)</f>
        <v>840.63</v>
      </c>
      <c r="DC1">
        <f t="shared" ref="DC1:DC10" si="1">ROUND(ROUND(AT1*AG1,2),2)</f>
        <v>0</v>
      </c>
    </row>
    <row r="2" spans="1:107" x14ac:dyDescent="0.2">
      <c r="A2">
        <f>ROW(Source!A28)</f>
        <v>28</v>
      </c>
      <c r="B2">
        <v>16808636</v>
      </c>
      <c r="C2">
        <v>16810117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709</v>
      </c>
      <c r="J2" t="s">
        <v>6</v>
      </c>
      <c r="K2" t="s">
        <v>710</v>
      </c>
      <c r="L2">
        <v>1191</v>
      </c>
      <c r="N2">
        <v>1013</v>
      </c>
      <c r="O2" t="s">
        <v>708</v>
      </c>
      <c r="P2" t="s">
        <v>708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6.71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7.74</v>
      </c>
      <c r="AU2" t="s">
        <v>6</v>
      </c>
      <c r="AV2">
        <v>2</v>
      </c>
      <c r="AW2">
        <v>2</v>
      </c>
      <c r="AX2">
        <v>16810122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0.73143000000000002</v>
      </c>
      <c r="CY2">
        <f>AD2</f>
        <v>0</v>
      </c>
      <c r="CZ2">
        <f>AH2</f>
        <v>0</v>
      </c>
      <c r="DA2">
        <f>AL2</f>
        <v>1</v>
      </c>
      <c r="DB2">
        <f t="shared" si="0"/>
        <v>0</v>
      </c>
      <c r="DC2">
        <f t="shared" si="1"/>
        <v>0</v>
      </c>
    </row>
    <row r="3" spans="1:107" x14ac:dyDescent="0.2">
      <c r="A3">
        <f>ROW(Source!A28)</f>
        <v>28</v>
      </c>
      <c r="B3">
        <v>16808636</v>
      </c>
      <c r="C3">
        <v>16810117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711</v>
      </c>
      <c r="J3" t="s">
        <v>712</v>
      </c>
      <c r="K3" t="s">
        <v>713</v>
      </c>
      <c r="L3">
        <v>1368</v>
      </c>
      <c r="N3">
        <v>1011</v>
      </c>
      <c r="O3" t="s">
        <v>714</v>
      </c>
      <c r="P3" t="s">
        <v>714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209.75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6.71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7.74</v>
      </c>
      <c r="AU3" t="s">
        <v>6</v>
      </c>
      <c r="AV3">
        <v>0</v>
      </c>
      <c r="AW3">
        <v>2</v>
      </c>
      <c r="AX3">
        <v>16810123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0.73143000000000002</v>
      </c>
      <c r="CY3">
        <f>AB3</f>
        <v>209.75</v>
      </c>
      <c r="CZ3">
        <f>AF3</f>
        <v>31.26</v>
      </c>
      <c r="DA3">
        <f>AJ3</f>
        <v>6.71</v>
      </c>
      <c r="DB3">
        <f t="shared" si="0"/>
        <v>241.95</v>
      </c>
      <c r="DC3">
        <f t="shared" si="1"/>
        <v>104.49</v>
      </c>
    </row>
    <row r="4" spans="1:107" x14ac:dyDescent="0.2">
      <c r="A4">
        <f>ROW(Source!A29)</f>
        <v>29</v>
      </c>
      <c r="B4">
        <v>16808636</v>
      </c>
      <c r="C4">
        <v>16810124</v>
      </c>
      <c r="D4">
        <v>15432010</v>
      </c>
      <c r="E4">
        <v>1</v>
      </c>
      <c r="F4">
        <v>1</v>
      </c>
      <c r="G4">
        <v>1</v>
      </c>
      <c r="H4">
        <v>1</v>
      </c>
      <c r="I4" t="s">
        <v>715</v>
      </c>
      <c r="J4" t="s">
        <v>6</v>
      </c>
      <c r="K4" t="s">
        <v>716</v>
      </c>
      <c r="L4">
        <v>1191</v>
      </c>
      <c r="N4">
        <v>1013</v>
      </c>
      <c r="O4" t="s">
        <v>708</v>
      </c>
      <c r="P4" t="s">
        <v>708</v>
      </c>
      <c r="Q4">
        <v>1</v>
      </c>
      <c r="W4">
        <v>0</v>
      </c>
      <c r="X4">
        <v>-228054128</v>
      </c>
      <c r="Y4">
        <v>17.89</v>
      </c>
      <c r="AA4">
        <v>0</v>
      </c>
      <c r="AB4">
        <v>0</v>
      </c>
      <c r="AC4">
        <v>0</v>
      </c>
      <c r="AD4">
        <v>53.81</v>
      </c>
      <c r="AE4">
        <v>0</v>
      </c>
      <c r="AF4">
        <v>0</v>
      </c>
      <c r="AG4">
        <v>0</v>
      </c>
      <c r="AH4">
        <v>8.02</v>
      </c>
      <c r="AI4">
        <v>1</v>
      </c>
      <c r="AJ4">
        <v>1</v>
      </c>
      <c r="AK4">
        <v>1</v>
      </c>
      <c r="AL4">
        <v>6.71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17.89</v>
      </c>
      <c r="AU4" t="s">
        <v>6</v>
      </c>
      <c r="AV4">
        <v>1</v>
      </c>
      <c r="AW4">
        <v>2</v>
      </c>
      <c r="AX4">
        <v>16810128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8.5871999999999993</v>
      </c>
      <c r="CY4">
        <f>AD4</f>
        <v>53.81</v>
      </c>
      <c r="CZ4">
        <f>AH4</f>
        <v>8.02</v>
      </c>
      <c r="DA4">
        <f>AL4</f>
        <v>6.71</v>
      </c>
      <c r="DB4">
        <f t="shared" si="0"/>
        <v>143.47999999999999</v>
      </c>
      <c r="DC4">
        <f t="shared" si="1"/>
        <v>0</v>
      </c>
    </row>
    <row r="5" spans="1:107" x14ac:dyDescent="0.2">
      <c r="A5">
        <f>ROW(Source!A29)</f>
        <v>29</v>
      </c>
      <c r="B5">
        <v>16808636</v>
      </c>
      <c r="C5">
        <v>16810124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709</v>
      </c>
      <c r="J5" t="s">
        <v>6</v>
      </c>
      <c r="K5" t="s">
        <v>710</v>
      </c>
      <c r="L5">
        <v>1191</v>
      </c>
      <c r="N5">
        <v>1013</v>
      </c>
      <c r="O5" t="s">
        <v>708</v>
      </c>
      <c r="P5" t="s">
        <v>708</v>
      </c>
      <c r="Q5">
        <v>1</v>
      </c>
      <c r="W5">
        <v>0</v>
      </c>
      <c r="X5">
        <v>-1417349443</v>
      </c>
      <c r="Y5">
        <v>0.08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6.71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0.08</v>
      </c>
      <c r="AU5" t="s">
        <v>6</v>
      </c>
      <c r="AV5">
        <v>2</v>
      </c>
      <c r="AW5">
        <v>2</v>
      </c>
      <c r="AX5">
        <v>16810129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Y5*Source!I29</f>
        <v>3.8399999999999997E-2</v>
      </c>
      <c r="CY5">
        <f>AD5</f>
        <v>0</v>
      </c>
      <c r="CZ5">
        <f>AH5</f>
        <v>0</v>
      </c>
      <c r="DA5">
        <f>AL5</f>
        <v>1</v>
      </c>
      <c r="DB5">
        <f t="shared" si="0"/>
        <v>0</v>
      </c>
      <c r="DC5">
        <f t="shared" si="1"/>
        <v>0</v>
      </c>
    </row>
    <row r="6" spans="1:107" x14ac:dyDescent="0.2">
      <c r="A6">
        <f>ROW(Source!A29)</f>
        <v>29</v>
      </c>
      <c r="B6">
        <v>16808636</v>
      </c>
      <c r="C6">
        <v>16810124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711</v>
      </c>
      <c r="J6" t="s">
        <v>712</v>
      </c>
      <c r="K6" t="s">
        <v>713</v>
      </c>
      <c r="L6">
        <v>1368</v>
      </c>
      <c r="N6">
        <v>1011</v>
      </c>
      <c r="O6" t="s">
        <v>714</v>
      </c>
      <c r="P6" t="s">
        <v>714</v>
      </c>
      <c r="Q6">
        <v>1</v>
      </c>
      <c r="W6">
        <v>0</v>
      </c>
      <c r="X6">
        <v>1188625873</v>
      </c>
      <c r="Y6">
        <v>0.08</v>
      </c>
      <c r="AA6">
        <v>0</v>
      </c>
      <c r="AB6">
        <v>209.75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6.71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0.08</v>
      </c>
      <c r="AU6" t="s">
        <v>6</v>
      </c>
      <c r="AV6">
        <v>0</v>
      </c>
      <c r="AW6">
        <v>2</v>
      </c>
      <c r="AX6">
        <v>16810130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3.8399999999999997E-2</v>
      </c>
      <c r="CY6">
        <f>AB6</f>
        <v>209.75</v>
      </c>
      <c r="CZ6">
        <f>AF6</f>
        <v>31.26</v>
      </c>
      <c r="DA6">
        <f>AJ6</f>
        <v>6.71</v>
      </c>
      <c r="DB6">
        <f t="shared" si="0"/>
        <v>2.5</v>
      </c>
      <c r="DC6">
        <f t="shared" si="1"/>
        <v>1.08</v>
      </c>
    </row>
    <row r="7" spans="1:107" x14ac:dyDescent="0.2">
      <c r="A7">
        <f>ROW(Source!A30)</f>
        <v>30</v>
      </c>
      <c r="B7">
        <v>16808636</v>
      </c>
      <c r="C7">
        <v>16810131</v>
      </c>
      <c r="D7">
        <v>15430517</v>
      </c>
      <c r="E7">
        <v>1</v>
      </c>
      <c r="F7">
        <v>1</v>
      </c>
      <c r="G7">
        <v>1</v>
      </c>
      <c r="H7">
        <v>1</v>
      </c>
      <c r="I7" t="s">
        <v>717</v>
      </c>
      <c r="J7" t="s">
        <v>6</v>
      </c>
      <c r="K7" t="s">
        <v>718</v>
      </c>
      <c r="L7">
        <v>1191</v>
      </c>
      <c r="N7">
        <v>1013</v>
      </c>
      <c r="O7" t="s">
        <v>708</v>
      </c>
      <c r="P7" t="s">
        <v>708</v>
      </c>
      <c r="Q7">
        <v>1</v>
      </c>
      <c r="W7">
        <v>0</v>
      </c>
      <c r="X7">
        <v>735429535</v>
      </c>
      <c r="Y7">
        <v>5.84</v>
      </c>
      <c r="AA7">
        <v>0</v>
      </c>
      <c r="AB7">
        <v>0</v>
      </c>
      <c r="AC7">
        <v>0</v>
      </c>
      <c r="AD7">
        <v>52.34</v>
      </c>
      <c r="AE7">
        <v>0</v>
      </c>
      <c r="AF7">
        <v>0</v>
      </c>
      <c r="AG7">
        <v>0</v>
      </c>
      <c r="AH7">
        <v>7.8</v>
      </c>
      <c r="AI7">
        <v>1</v>
      </c>
      <c r="AJ7">
        <v>1</v>
      </c>
      <c r="AK7">
        <v>1</v>
      </c>
      <c r="AL7">
        <v>6.71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6</v>
      </c>
      <c r="AT7">
        <v>5.84</v>
      </c>
      <c r="AU7" t="s">
        <v>6</v>
      </c>
      <c r="AV7">
        <v>1</v>
      </c>
      <c r="AW7">
        <v>2</v>
      </c>
      <c r="AX7">
        <v>16810133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Y7*Source!I30</f>
        <v>2.6863999999999999</v>
      </c>
      <c r="CY7">
        <f>AD7</f>
        <v>52.34</v>
      </c>
      <c r="CZ7">
        <f>AH7</f>
        <v>7.8</v>
      </c>
      <c r="DA7">
        <f>AL7</f>
        <v>6.71</v>
      </c>
      <c r="DB7">
        <f t="shared" si="0"/>
        <v>45.55</v>
      </c>
      <c r="DC7">
        <f t="shared" si="1"/>
        <v>0</v>
      </c>
    </row>
    <row r="8" spans="1:107" x14ac:dyDescent="0.2">
      <c r="A8">
        <f>ROW(Source!A31)</f>
        <v>31</v>
      </c>
      <c r="B8">
        <v>16808636</v>
      </c>
      <c r="C8">
        <v>16810134</v>
      </c>
      <c r="D8">
        <v>15430517</v>
      </c>
      <c r="E8">
        <v>1</v>
      </c>
      <c r="F8">
        <v>1</v>
      </c>
      <c r="G8">
        <v>1</v>
      </c>
      <c r="H8">
        <v>1</v>
      </c>
      <c r="I8" t="s">
        <v>717</v>
      </c>
      <c r="J8" t="s">
        <v>6</v>
      </c>
      <c r="K8" t="s">
        <v>718</v>
      </c>
      <c r="L8">
        <v>1191</v>
      </c>
      <c r="N8">
        <v>1013</v>
      </c>
      <c r="O8" t="s">
        <v>708</v>
      </c>
      <c r="P8" t="s">
        <v>708</v>
      </c>
      <c r="Q8">
        <v>1</v>
      </c>
      <c r="W8">
        <v>0</v>
      </c>
      <c r="X8">
        <v>735429535</v>
      </c>
      <c r="Y8">
        <v>9.64</v>
      </c>
      <c r="AA8">
        <v>0</v>
      </c>
      <c r="AB8">
        <v>0</v>
      </c>
      <c r="AC8">
        <v>0</v>
      </c>
      <c r="AD8">
        <v>52.34</v>
      </c>
      <c r="AE8">
        <v>0</v>
      </c>
      <c r="AF8">
        <v>0</v>
      </c>
      <c r="AG8">
        <v>0</v>
      </c>
      <c r="AH8">
        <v>7.8</v>
      </c>
      <c r="AI8">
        <v>1</v>
      </c>
      <c r="AJ8">
        <v>1</v>
      </c>
      <c r="AK8">
        <v>1</v>
      </c>
      <c r="AL8">
        <v>6.71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9.64</v>
      </c>
      <c r="AU8" t="s">
        <v>6</v>
      </c>
      <c r="AV8">
        <v>1</v>
      </c>
      <c r="AW8">
        <v>2</v>
      </c>
      <c r="AX8">
        <v>16810138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Y8*Source!I31</f>
        <v>11.086</v>
      </c>
      <c r="CY8">
        <f>AD8</f>
        <v>52.34</v>
      </c>
      <c r="CZ8">
        <f>AH8</f>
        <v>7.8</v>
      </c>
      <c r="DA8">
        <f>AL8</f>
        <v>6.71</v>
      </c>
      <c r="DB8">
        <f t="shared" si="0"/>
        <v>75.19</v>
      </c>
      <c r="DC8">
        <f t="shared" si="1"/>
        <v>0</v>
      </c>
    </row>
    <row r="9" spans="1:107" x14ac:dyDescent="0.2">
      <c r="A9">
        <f>ROW(Source!A31)</f>
        <v>31</v>
      </c>
      <c r="B9">
        <v>16808636</v>
      </c>
      <c r="C9">
        <v>16810134</v>
      </c>
      <c r="D9">
        <v>15430395</v>
      </c>
      <c r="E9">
        <v>1</v>
      </c>
      <c r="F9">
        <v>1</v>
      </c>
      <c r="G9">
        <v>1</v>
      </c>
      <c r="H9">
        <v>1</v>
      </c>
      <c r="I9" t="s">
        <v>709</v>
      </c>
      <c r="J9" t="s">
        <v>6</v>
      </c>
      <c r="K9" t="s">
        <v>710</v>
      </c>
      <c r="L9">
        <v>1191</v>
      </c>
      <c r="N9">
        <v>1013</v>
      </c>
      <c r="O9" t="s">
        <v>708</v>
      </c>
      <c r="P9" t="s">
        <v>708</v>
      </c>
      <c r="Q9">
        <v>1</v>
      </c>
      <c r="W9">
        <v>0</v>
      </c>
      <c r="X9">
        <v>-1417349443</v>
      </c>
      <c r="Y9">
        <v>0.01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1</v>
      </c>
      <c r="AJ9">
        <v>1</v>
      </c>
      <c r="AK9">
        <v>6.71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6</v>
      </c>
      <c r="AT9">
        <v>0.01</v>
      </c>
      <c r="AU9" t="s">
        <v>6</v>
      </c>
      <c r="AV9">
        <v>2</v>
      </c>
      <c r="AW9">
        <v>2</v>
      </c>
      <c r="AX9">
        <v>16810139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Y9*Source!I31</f>
        <v>1.15E-2</v>
      </c>
      <c r="CY9">
        <f>AD9</f>
        <v>0</v>
      </c>
      <c r="CZ9">
        <f>AH9</f>
        <v>0</v>
      </c>
      <c r="DA9">
        <f>AL9</f>
        <v>1</v>
      </c>
      <c r="DB9">
        <f t="shared" si="0"/>
        <v>0</v>
      </c>
      <c r="DC9">
        <f t="shared" si="1"/>
        <v>0</v>
      </c>
    </row>
    <row r="10" spans="1:107" x14ac:dyDescent="0.2">
      <c r="A10">
        <f>ROW(Source!A31)</f>
        <v>31</v>
      </c>
      <c r="B10">
        <v>16808636</v>
      </c>
      <c r="C10">
        <v>16810134</v>
      </c>
      <c r="D10">
        <v>15247974</v>
      </c>
      <c r="E10">
        <v>1</v>
      </c>
      <c r="F10">
        <v>1</v>
      </c>
      <c r="G10">
        <v>1</v>
      </c>
      <c r="H10">
        <v>2</v>
      </c>
      <c r="I10" t="s">
        <v>711</v>
      </c>
      <c r="J10" t="s">
        <v>712</v>
      </c>
      <c r="K10" t="s">
        <v>713</v>
      </c>
      <c r="L10">
        <v>1368</v>
      </c>
      <c r="N10">
        <v>1011</v>
      </c>
      <c r="O10" t="s">
        <v>714</v>
      </c>
      <c r="P10" t="s">
        <v>714</v>
      </c>
      <c r="Q10">
        <v>1</v>
      </c>
      <c r="W10">
        <v>0</v>
      </c>
      <c r="X10">
        <v>1188625873</v>
      </c>
      <c r="Y10">
        <v>0.01</v>
      </c>
      <c r="AA10">
        <v>0</v>
      </c>
      <c r="AB10">
        <v>209.75</v>
      </c>
      <c r="AC10">
        <v>13.5</v>
      </c>
      <c r="AD10">
        <v>0</v>
      </c>
      <c r="AE10">
        <v>0</v>
      </c>
      <c r="AF10">
        <v>31.26</v>
      </c>
      <c r="AG10">
        <v>13.5</v>
      </c>
      <c r="AH10">
        <v>0</v>
      </c>
      <c r="AI10">
        <v>1</v>
      </c>
      <c r="AJ10">
        <v>6.71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6</v>
      </c>
      <c r="AT10">
        <v>0.01</v>
      </c>
      <c r="AU10" t="s">
        <v>6</v>
      </c>
      <c r="AV10">
        <v>0</v>
      </c>
      <c r="AW10">
        <v>2</v>
      </c>
      <c r="AX10">
        <v>16810140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Y10*Source!I31</f>
        <v>1.15E-2</v>
      </c>
      <c r="CY10">
        <f>AB10</f>
        <v>209.75</v>
      </c>
      <c r="CZ10">
        <f>AF10</f>
        <v>31.26</v>
      </c>
      <c r="DA10">
        <f>AJ10</f>
        <v>6.71</v>
      </c>
      <c r="DB10">
        <f t="shared" si="0"/>
        <v>0.31</v>
      </c>
      <c r="DC10">
        <f t="shared" si="1"/>
        <v>0.14000000000000001</v>
      </c>
    </row>
    <row r="11" spans="1:107" x14ac:dyDescent="0.2">
      <c r="A11">
        <f>ROW(Source!A32)</f>
        <v>32</v>
      </c>
      <c r="B11">
        <v>16808636</v>
      </c>
      <c r="C11">
        <v>16810141</v>
      </c>
      <c r="D11">
        <v>15442878</v>
      </c>
      <c r="E11">
        <v>1</v>
      </c>
      <c r="F11">
        <v>1</v>
      </c>
      <c r="G11">
        <v>1</v>
      </c>
      <c r="H11">
        <v>1</v>
      </c>
      <c r="I11" t="s">
        <v>719</v>
      </c>
      <c r="J11" t="s">
        <v>6</v>
      </c>
      <c r="K11" t="s">
        <v>720</v>
      </c>
      <c r="L11">
        <v>1191</v>
      </c>
      <c r="N11">
        <v>1013</v>
      </c>
      <c r="O11" t="s">
        <v>708</v>
      </c>
      <c r="P11" t="s">
        <v>708</v>
      </c>
      <c r="Q11">
        <v>1</v>
      </c>
      <c r="W11">
        <v>0</v>
      </c>
      <c r="X11">
        <v>-362667798</v>
      </c>
      <c r="Y11">
        <v>0.27</v>
      </c>
      <c r="AA11">
        <v>0</v>
      </c>
      <c r="AB11">
        <v>0</v>
      </c>
      <c r="AC11">
        <v>0</v>
      </c>
      <c r="AD11">
        <v>70.459999999999994</v>
      </c>
      <c r="AE11">
        <v>0</v>
      </c>
      <c r="AF11">
        <v>0</v>
      </c>
      <c r="AG11">
        <v>0</v>
      </c>
      <c r="AH11">
        <v>10.5</v>
      </c>
      <c r="AI11">
        <v>1</v>
      </c>
      <c r="AJ11">
        <v>1</v>
      </c>
      <c r="AK11">
        <v>1</v>
      </c>
      <c r="AL11">
        <v>6.71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6</v>
      </c>
      <c r="AT11">
        <v>0.9</v>
      </c>
      <c r="AU11" t="s">
        <v>49</v>
      </c>
      <c r="AV11">
        <v>1</v>
      </c>
      <c r="AW11">
        <v>2</v>
      </c>
      <c r="AX11">
        <v>16810150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Y11*Source!I32</f>
        <v>0.54</v>
      </c>
      <c r="CY11">
        <f>AD11</f>
        <v>70.459999999999994</v>
      </c>
      <c r="CZ11">
        <f>AH11</f>
        <v>10.5</v>
      </c>
      <c r="DA11">
        <f>AL11</f>
        <v>6.71</v>
      </c>
      <c r="DB11">
        <f>ROUND((ROUND(AT11*CZ11,2)*0.3),2)</f>
        <v>2.84</v>
      </c>
      <c r="DC11">
        <f>ROUND((ROUND(AT11*AG11,2)*0.3),2)</f>
        <v>0</v>
      </c>
    </row>
    <row r="12" spans="1:107" x14ac:dyDescent="0.2">
      <c r="A12">
        <f>ROW(Source!A32)</f>
        <v>32</v>
      </c>
      <c r="B12">
        <v>16808636</v>
      </c>
      <c r="C12">
        <v>16810141</v>
      </c>
      <c r="D12">
        <v>15430395</v>
      </c>
      <c r="E12">
        <v>1</v>
      </c>
      <c r="F12">
        <v>1</v>
      </c>
      <c r="G12">
        <v>1</v>
      </c>
      <c r="H12">
        <v>1</v>
      </c>
      <c r="I12" t="s">
        <v>709</v>
      </c>
      <c r="J12" t="s">
        <v>6</v>
      </c>
      <c r="K12" t="s">
        <v>710</v>
      </c>
      <c r="L12">
        <v>1191</v>
      </c>
      <c r="N12">
        <v>1013</v>
      </c>
      <c r="O12" t="s">
        <v>708</v>
      </c>
      <c r="P12" t="s">
        <v>708</v>
      </c>
      <c r="Q12">
        <v>1</v>
      </c>
      <c r="W12">
        <v>0</v>
      </c>
      <c r="X12">
        <v>-1417349443</v>
      </c>
      <c r="Y12">
        <v>0.2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6.71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6</v>
      </c>
      <c r="AT12">
        <v>0.2</v>
      </c>
      <c r="AU12" t="s">
        <v>6</v>
      </c>
      <c r="AV12">
        <v>2</v>
      </c>
      <c r="AW12">
        <v>2</v>
      </c>
      <c r="AX12">
        <v>16810151</v>
      </c>
      <c r="AY12">
        <v>1</v>
      </c>
      <c r="AZ12">
        <v>2048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Y12*Source!I32</f>
        <v>0.4</v>
      </c>
      <c r="CY12">
        <f>AD12</f>
        <v>0</v>
      </c>
      <c r="CZ12">
        <f>AH12</f>
        <v>0</v>
      </c>
      <c r="DA12">
        <f>AL12</f>
        <v>1</v>
      </c>
      <c r="DB12">
        <f>ROUND(ROUND(AT12*CZ12,2),2)</f>
        <v>0</v>
      </c>
      <c r="DC12">
        <f>ROUND(ROUND(AT12*AG12,2),2)</f>
        <v>0</v>
      </c>
    </row>
    <row r="13" spans="1:107" x14ac:dyDescent="0.2">
      <c r="A13">
        <f>ROW(Source!A32)</f>
        <v>32</v>
      </c>
      <c r="B13">
        <v>16808636</v>
      </c>
      <c r="C13">
        <v>16810141</v>
      </c>
      <c r="D13">
        <v>15247680</v>
      </c>
      <c r="E13">
        <v>1</v>
      </c>
      <c r="F13">
        <v>1</v>
      </c>
      <c r="G13">
        <v>1</v>
      </c>
      <c r="H13">
        <v>2</v>
      </c>
      <c r="I13" t="s">
        <v>721</v>
      </c>
      <c r="J13" t="s">
        <v>722</v>
      </c>
      <c r="K13" t="s">
        <v>723</v>
      </c>
      <c r="L13">
        <v>1368</v>
      </c>
      <c r="N13">
        <v>1011</v>
      </c>
      <c r="O13" t="s">
        <v>714</v>
      </c>
      <c r="P13" t="s">
        <v>714</v>
      </c>
      <c r="Q13">
        <v>1</v>
      </c>
      <c r="W13">
        <v>0</v>
      </c>
      <c r="X13">
        <v>-1718674368</v>
      </c>
      <c r="Y13">
        <v>0.03</v>
      </c>
      <c r="AA13">
        <v>0</v>
      </c>
      <c r="AB13">
        <v>751.45</v>
      </c>
      <c r="AC13">
        <v>13.5</v>
      </c>
      <c r="AD13">
        <v>0</v>
      </c>
      <c r="AE13">
        <v>0</v>
      </c>
      <c r="AF13">
        <v>111.99</v>
      </c>
      <c r="AG13">
        <v>13.5</v>
      </c>
      <c r="AH13">
        <v>0</v>
      </c>
      <c r="AI13">
        <v>1</v>
      </c>
      <c r="AJ13">
        <v>6.71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6</v>
      </c>
      <c r="AT13">
        <v>0.1</v>
      </c>
      <c r="AU13" t="s">
        <v>49</v>
      </c>
      <c r="AV13">
        <v>0</v>
      </c>
      <c r="AW13">
        <v>2</v>
      </c>
      <c r="AX13">
        <v>16810152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Y13*Source!I32</f>
        <v>0.06</v>
      </c>
      <c r="CY13">
        <f>AB13</f>
        <v>751.45</v>
      </c>
      <c r="CZ13">
        <f>AF13</f>
        <v>111.99</v>
      </c>
      <c r="DA13">
        <f>AJ13</f>
        <v>6.71</v>
      </c>
      <c r="DB13">
        <f>ROUND((ROUND(AT13*CZ13,2)*0.3),2)</f>
        <v>3.36</v>
      </c>
      <c r="DC13">
        <f>ROUND((ROUND(AT13*AG13,2)*0.3),2)</f>
        <v>0.41</v>
      </c>
    </row>
    <row r="14" spans="1:107" x14ac:dyDescent="0.2">
      <c r="A14">
        <f>ROW(Source!A32)</f>
        <v>32</v>
      </c>
      <c r="B14">
        <v>16808636</v>
      </c>
      <c r="C14">
        <v>16810141</v>
      </c>
      <c r="D14">
        <v>15249073</v>
      </c>
      <c r="E14">
        <v>1</v>
      </c>
      <c r="F14">
        <v>1</v>
      </c>
      <c r="G14">
        <v>1</v>
      </c>
      <c r="H14">
        <v>2</v>
      </c>
      <c r="I14" t="s">
        <v>724</v>
      </c>
      <c r="J14" t="s">
        <v>725</v>
      </c>
      <c r="K14" t="s">
        <v>726</v>
      </c>
      <c r="L14">
        <v>1368</v>
      </c>
      <c r="N14">
        <v>1011</v>
      </c>
      <c r="O14" t="s">
        <v>714</v>
      </c>
      <c r="P14" t="s">
        <v>714</v>
      </c>
      <c r="Q14">
        <v>1</v>
      </c>
      <c r="W14">
        <v>0</v>
      </c>
      <c r="X14">
        <v>1372534845</v>
      </c>
      <c r="Y14">
        <v>0.03</v>
      </c>
      <c r="AA14">
        <v>0</v>
      </c>
      <c r="AB14">
        <v>440.91</v>
      </c>
      <c r="AC14">
        <v>11.6</v>
      </c>
      <c r="AD14">
        <v>0</v>
      </c>
      <c r="AE14">
        <v>0</v>
      </c>
      <c r="AF14">
        <v>65.709999999999994</v>
      </c>
      <c r="AG14">
        <v>11.6</v>
      </c>
      <c r="AH14">
        <v>0</v>
      </c>
      <c r="AI14">
        <v>1</v>
      </c>
      <c r="AJ14">
        <v>6.71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6</v>
      </c>
      <c r="AT14">
        <v>0.1</v>
      </c>
      <c r="AU14" t="s">
        <v>49</v>
      </c>
      <c r="AV14">
        <v>0</v>
      </c>
      <c r="AW14">
        <v>2</v>
      </c>
      <c r="AX14">
        <v>16810153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Y14*Source!I32</f>
        <v>0.06</v>
      </c>
      <c r="CY14">
        <f>AB14</f>
        <v>440.91</v>
      </c>
      <c r="CZ14">
        <f>AF14</f>
        <v>65.709999999999994</v>
      </c>
      <c r="DA14">
        <f>AJ14</f>
        <v>6.71</v>
      </c>
      <c r="DB14">
        <f>ROUND((ROUND(AT14*CZ14,2)*0.3),2)</f>
        <v>1.97</v>
      </c>
      <c r="DC14">
        <f>ROUND((ROUND(AT14*AG14,2)*0.3),2)</f>
        <v>0.35</v>
      </c>
    </row>
    <row r="15" spans="1:107" x14ac:dyDescent="0.2">
      <c r="A15">
        <f>ROW(Source!A32)</f>
        <v>32</v>
      </c>
      <c r="B15">
        <v>16808636</v>
      </c>
      <c r="C15">
        <v>16810141</v>
      </c>
      <c r="D15">
        <v>15167588</v>
      </c>
      <c r="E15">
        <v>1</v>
      </c>
      <c r="F15">
        <v>1</v>
      </c>
      <c r="G15">
        <v>1</v>
      </c>
      <c r="H15">
        <v>3</v>
      </c>
      <c r="I15" t="s">
        <v>727</v>
      </c>
      <c r="J15" t="s">
        <v>728</v>
      </c>
      <c r="K15" t="s">
        <v>729</v>
      </c>
      <c r="L15">
        <v>1346</v>
      </c>
      <c r="N15">
        <v>1009</v>
      </c>
      <c r="O15" t="s">
        <v>300</v>
      </c>
      <c r="P15" t="s">
        <v>300</v>
      </c>
      <c r="Q15">
        <v>1</v>
      </c>
      <c r="W15">
        <v>0</v>
      </c>
      <c r="X15">
        <v>-1088866022</v>
      </c>
      <c r="Y15">
        <v>0</v>
      </c>
      <c r="AA15">
        <v>203.98</v>
      </c>
      <c r="AB15">
        <v>0</v>
      </c>
      <c r="AC15">
        <v>0</v>
      </c>
      <c r="AD15">
        <v>0</v>
      </c>
      <c r="AE15">
        <v>30.4</v>
      </c>
      <c r="AF15">
        <v>0</v>
      </c>
      <c r="AG15">
        <v>0</v>
      </c>
      <c r="AH15">
        <v>0</v>
      </c>
      <c r="AI15">
        <v>6.71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6</v>
      </c>
      <c r="AT15">
        <v>0.01</v>
      </c>
      <c r="AU15" t="s">
        <v>48</v>
      </c>
      <c r="AV15">
        <v>0</v>
      </c>
      <c r="AW15">
        <v>2</v>
      </c>
      <c r="AX15">
        <v>16810154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Y15*Source!I32</f>
        <v>0</v>
      </c>
      <c r="CY15">
        <f>AA15</f>
        <v>203.98</v>
      </c>
      <c r="CZ15">
        <f>AE15</f>
        <v>30.4</v>
      </c>
      <c r="DA15">
        <f>AI15</f>
        <v>6.71</v>
      </c>
      <c r="DB15">
        <f>ROUND((ROUND(AT15*CZ15,2)*0),2)</f>
        <v>0</v>
      </c>
      <c r="DC15">
        <f>ROUND((ROUND(AT15*AG15,2)*0),2)</f>
        <v>0</v>
      </c>
    </row>
    <row r="16" spans="1:107" x14ac:dyDescent="0.2">
      <c r="A16">
        <f>ROW(Source!A32)</f>
        <v>32</v>
      </c>
      <c r="B16">
        <v>16808636</v>
      </c>
      <c r="C16">
        <v>16810141</v>
      </c>
      <c r="D16">
        <v>15169942</v>
      </c>
      <c r="E16">
        <v>1</v>
      </c>
      <c r="F16">
        <v>1</v>
      </c>
      <c r="G16">
        <v>1</v>
      </c>
      <c r="H16">
        <v>3</v>
      </c>
      <c r="I16" t="s">
        <v>730</v>
      </c>
      <c r="J16" t="s">
        <v>731</v>
      </c>
      <c r="K16" t="s">
        <v>732</v>
      </c>
      <c r="L16">
        <v>1346</v>
      </c>
      <c r="N16">
        <v>1009</v>
      </c>
      <c r="O16" t="s">
        <v>300</v>
      </c>
      <c r="P16" t="s">
        <v>300</v>
      </c>
      <c r="Q16">
        <v>1</v>
      </c>
      <c r="W16">
        <v>0</v>
      </c>
      <c r="X16">
        <v>103900845</v>
      </c>
      <c r="Y16">
        <v>0</v>
      </c>
      <c r="AA16">
        <v>60.66</v>
      </c>
      <c r="AB16">
        <v>0</v>
      </c>
      <c r="AC16">
        <v>0</v>
      </c>
      <c r="AD16">
        <v>0</v>
      </c>
      <c r="AE16">
        <v>9.0399999999999991</v>
      </c>
      <c r="AF16">
        <v>0</v>
      </c>
      <c r="AG16">
        <v>0</v>
      </c>
      <c r="AH16">
        <v>0</v>
      </c>
      <c r="AI16">
        <v>6.71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6</v>
      </c>
      <c r="AT16">
        <v>0.3</v>
      </c>
      <c r="AU16" t="s">
        <v>48</v>
      </c>
      <c r="AV16">
        <v>0</v>
      </c>
      <c r="AW16">
        <v>2</v>
      </c>
      <c r="AX16">
        <v>16810155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Y16*Source!I32</f>
        <v>0</v>
      </c>
      <c r="CY16">
        <f>AA16</f>
        <v>60.66</v>
      </c>
      <c r="CZ16">
        <f>AE16</f>
        <v>9.0399999999999991</v>
      </c>
      <c r="DA16">
        <f>AI16</f>
        <v>6.71</v>
      </c>
      <c r="DB16">
        <f>ROUND((ROUND(AT16*CZ16,2)*0),2)</f>
        <v>0</v>
      </c>
      <c r="DC16">
        <f>ROUND((ROUND(AT16*AG16,2)*0),2)</f>
        <v>0</v>
      </c>
    </row>
    <row r="17" spans="1:107" x14ac:dyDescent="0.2">
      <c r="A17">
        <f>ROW(Source!A32)</f>
        <v>32</v>
      </c>
      <c r="B17">
        <v>16808636</v>
      </c>
      <c r="C17">
        <v>16810141</v>
      </c>
      <c r="D17">
        <v>15191488</v>
      </c>
      <c r="E17">
        <v>1</v>
      </c>
      <c r="F17">
        <v>1</v>
      </c>
      <c r="G17">
        <v>1</v>
      </c>
      <c r="H17">
        <v>3</v>
      </c>
      <c r="I17" t="s">
        <v>733</v>
      </c>
      <c r="J17" t="s">
        <v>734</v>
      </c>
      <c r="K17" t="s">
        <v>735</v>
      </c>
      <c r="L17">
        <v>1348</v>
      </c>
      <c r="N17">
        <v>1009</v>
      </c>
      <c r="O17" t="s">
        <v>104</v>
      </c>
      <c r="P17" t="s">
        <v>104</v>
      </c>
      <c r="Q17">
        <v>1000</v>
      </c>
      <c r="W17">
        <v>0</v>
      </c>
      <c r="X17">
        <v>-1598896989</v>
      </c>
      <c r="Y17">
        <v>0</v>
      </c>
      <c r="AA17">
        <v>33550</v>
      </c>
      <c r="AB17">
        <v>0</v>
      </c>
      <c r="AC17">
        <v>0</v>
      </c>
      <c r="AD17">
        <v>0</v>
      </c>
      <c r="AE17">
        <v>5000</v>
      </c>
      <c r="AF17">
        <v>0</v>
      </c>
      <c r="AG17">
        <v>0</v>
      </c>
      <c r="AH17">
        <v>0</v>
      </c>
      <c r="AI17">
        <v>6.71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6</v>
      </c>
      <c r="AT17">
        <v>5.9999999999999995E-4</v>
      </c>
      <c r="AU17" t="s">
        <v>48</v>
      </c>
      <c r="AV17">
        <v>0</v>
      </c>
      <c r="AW17">
        <v>2</v>
      </c>
      <c r="AX17">
        <v>16810156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Y17*Source!I32</f>
        <v>0</v>
      </c>
      <c r="CY17">
        <f>AA17</f>
        <v>33550</v>
      </c>
      <c r="CZ17">
        <f>AE17</f>
        <v>5000</v>
      </c>
      <c r="DA17">
        <f>AI17</f>
        <v>6.71</v>
      </c>
      <c r="DB17">
        <f>ROUND((ROUND(AT17*CZ17,2)*0),2)</f>
        <v>0</v>
      </c>
      <c r="DC17">
        <f>ROUND((ROUND(AT17*AG17,2)*0),2)</f>
        <v>0</v>
      </c>
    </row>
    <row r="18" spans="1:107" x14ac:dyDescent="0.2">
      <c r="A18">
        <f>ROW(Source!A32)</f>
        <v>32</v>
      </c>
      <c r="B18">
        <v>16808636</v>
      </c>
      <c r="C18">
        <v>16810141</v>
      </c>
      <c r="D18">
        <v>15164559</v>
      </c>
      <c r="E18">
        <v>17</v>
      </c>
      <c r="F18">
        <v>1</v>
      </c>
      <c r="G18">
        <v>1</v>
      </c>
      <c r="H18">
        <v>3</v>
      </c>
      <c r="I18" t="s">
        <v>736</v>
      </c>
      <c r="J18" t="s">
        <v>6</v>
      </c>
      <c r="K18" t="s">
        <v>737</v>
      </c>
      <c r="L18">
        <v>1374</v>
      </c>
      <c r="N18">
        <v>1013</v>
      </c>
      <c r="O18" t="s">
        <v>738</v>
      </c>
      <c r="P18" t="s">
        <v>738</v>
      </c>
      <c r="Q18">
        <v>1</v>
      </c>
      <c r="W18">
        <v>0</v>
      </c>
      <c r="X18">
        <v>-1731369543</v>
      </c>
      <c r="Y18">
        <v>0</v>
      </c>
      <c r="AA18">
        <v>1</v>
      </c>
      <c r="AB18">
        <v>0</v>
      </c>
      <c r="AC18">
        <v>0</v>
      </c>
      <c r="AD18">
        <v>0</v>
      </c>
      <c r="AE18">
        <v>1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0.19</v>
      </c>
      <c r="AU18" t="s">
        <v>48</v>
      </c>
      <c r="AV18">
        <v>0</v>
      </c>
      <c r="AW18">
        <v>2</v>
      </c>
      <c r="AX18">
        <v>16810157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Y18*Source!I32</f>
        <v>0</v>
      </c>
      <c r="CY18">
        <f>AA18</f>
        <v>1</v>
      </c>
      <c r="CZ18">
        <f>AE18</f>
        <v>1</v>
      </c>
      <c r="DA18">
        <f>AI18</f>
        <v>1</v>
      </c>
      <c r="DB18">
        <f>ROUND((ROUND(AT18*CZ18,2)*0),2)</f>
        <v>0</v>
      </c>
      <c r="DC18">
        <f>ROUND((ROUND(AT18*AG18,2)*0),2)</f>
        <v>0</v>
      </c>
    </row>
    <row r="19" spans="1:107" x14ac:dyDescent="0.2">
      <c r="A19">
        <f>ROW(Source!A33)</f>
        <v>33</v>
      </c>
      <c r="B19">
        <v>16808636</v>
      </c>
      <c r="C19">
        <v>16810158</v>
      </c>
      <c r="D19">
        <v>15435721</v>
      </c>
      <c r="E19">
        <v>1</v>
      </c>
      <c r="F19">
        <v>1</v>
      </c>
      <c r="G19">
        <v>1</v>
      </c>
      <c r="H19">
        <v>1</v>
      </c>
      <c r="I19" t="s">
        <v>739</v>
      </c>
      <c r="J19" t="s">
        <v>6</v>
      </c>
      <c r="K19" t="s">
        <v>740</v>
      </c>
      <c r="L19">
        <v>1191</v>
      </c>
      <c r="N19">
        <v>1013</v>
      </c>
      <c r="O19" t="s">
        <v>708</v>
      </c>
      <c r="P19" t="s">
        <v>708</v>
      </c>
      <c r="Q19">
        <v>1</v>
      </c>
      <c r="W19">
        <v>0</v>
      </c>
      <c r="X19">
        <v>1983201532</v>
      </c>
      <c r="Y19">
        <v>4.8869999999999996</v>
      </c>
      <c r="AA19">
        <v>0</v>
      </c>
      <c r="AB19">
        <v>0</v>
      </c>
      <c r="AC19">
        <v>0</v>
      </c>
      <c r="AD19">
        <v>63.81</v>
      </c>
      <c r="AE19">
        <v>0</v>
      </c>
      <c r="AF19">
        <v>0</v>
      </c>
      <c r="AG19">
        <v>0</v>
      </c>
      <c r="AH19">
        <v>9.51</v>
      </c>
      <c r="AI19">
        <v>1</v>
      </c>
      <c r="AJ19">
        <v>1</v>
      </c>
      <c r="AK19">
        <v>1</v>
      </c>
      <c r="AL19">
        <v>6.71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</v>
      </c>
      <c r="AT19">
        <v>16.29</v>
      </c>
      <c r="AU19" t="s">
        <v>49</v>
      </c>
      <c r="AV19">
        <v>1</v>
      </c>
      <c r="AW19">
        <v>2</v>
      </c>
      <c r="AX19">
        <v>16810165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Y19*Source!I33</f>
        <v>5.6200499999999991</v>
      </c>
      <c r="CY19">
        <f>AD19</f>
        <v>63.81</v>
      </c>
      <c r="CZ19">
        <f>AH19</f>
        <v>9.51</v>
      </c>
      <c r="DA19">
        <f>AL19</f>
        <v>6.71</v>
      </c>
      <c r="DB19">
        <f>ROUND((ROUND(AT19*CZ19,2)*0.3),2)</f>
        <v>46.48</v>
      </c>
      <c r="DC19">
        <f>ROUND((ROUND(AT19*AG19,2)*0.3),2)</f>
        <v>0</v>
      </c>
    </row>
    <row r="20" spans="1:107" x14ac:dyDescent="0.2">
      <c r="A20">
        <f>ROW(Source!A33)</f>
        <v>33</v>
      </c>
      <c r="B20">
        <v>16808636</v>
      </c>
      <c r="C20">
        <v>16810158</v>
      </c>
      <c r="D20">
        <v>15430395</v>
      </c>
      <c r="E20">
        <v>1</v>
      </c>
      <c r="F20">
        <v>1</v>
      </c>
      <c r="G20">
        <v>1</v>
      </c>
      <c r="H20">
        <v>1</v>
      </c>
      <c r="I20" t="s">
        <v>709</v>
      </c>
      <c r="J20" t="s">
        <v>6</v>
      </c>
      <c r="K20" t="s">
        <v>710</v>
      </c>
      <c r="L20">
        <v>1191</v>
      </c>
      <c r="N20">
        <v>1013</v>
      </c>
      <c r="O20" t="s">
        <v>708</v>
      </c>
      <c r="P20" t="s">
        <v>708</v>
      </c>
      <c r="Q20">
        <v>1</v>
      </c>
      <c r="W20">
        <v>0</v>
      </c>
      <c r="X20">
        <v>-1417349443</v>
      </c>
      <c r="Y20">
        <v>0.01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6.71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6</v>
      </c>
      <c r="AT20">
        <v>0.01</v>
      </c>
      <c r="AU20" t="s">
        <v>6</v>
      </c>
      <c r="AV20">
        <v>2</v>
      </c>
      <c r="AW20">
        <v>2</v>
      </c>
      <c r="AX20">
        <v>16810166</v>
      </c>
      <c r="AY20">
        <v>1</v>
      </c>
      <c r="AZ20">
        <v>2048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Y20*Source!I33</f>
        <v>1.15E-2</v>
      </c>
      <c r="CY20">
        <f>AD20</f>
        <v>0</v>
      </c>
      <c r="CZ20">
        <f>AH20</f>
        <v>0</v>
      </c>
      <c r="DA20">
        <f>AL20</f>
        <v>1</v>
      </c>
      <c r="DB20">
        <f>ROUND(ROUND(AT20*CZ20,2),2)</f>
        <v>0</v>
      </c>
      <c r="DC20">
        <f>ROUND(ROUND(AT20*AG20,2),2)</f>
        <v>0</v>
      </c>
    </row>
    <row r="21" spans="1:107" x14ac:dyDescent="0.2">
      <c r="A21">
        <f>ROW(Source!A33)</f>
        <v>33</v>
      </c>
      <c r="B21">
        <v>16808636</v>
      </c>
      <c r="C21">
        <v>16810158</v>
      </c>
      <c r="D21">
        <v>15247974</v>
      </c>
      <c r="E21">
        <v>1</v>
      </c>
      <c r="F21">
        <v>1</v>
      </c>
      <c r="G21">
        <v>1</v>
      </c>
      <c r="H21">
        <v>2</v>
      </c>
      <c r="I21" t="s">
        <v>711</v>
      </c>
      <c r="J21" t="s">
        <v>712</v>
      </c>
      <c r="K21" t="s">
        <v>713</v>
      </c>
      <c r="L21">
        <v>1368</v>
      </c>
      <c r="N21">
        <v>1011</v>
      </c>
      <c r="O21" t="s">
        <v>714</v>
      </c>
      <c r="P21" t="s">
        <v>714</v>
      </c>
      <c r="Q21">
        <v>1</v>
      </c>
      <c r="W21">
        <v>0</v>
      </c>
      <c r="X21">
        <v>1188625873</v>
      </c>
      <c r="Y21">
        <v>3.0000000000000001E-3</v>
      </c>
      <c r="AA21">
        <v>0</v>
      </c>
      <c r="AB21">
        <v>209.75</v>
      </c>
      <c r="AC21">
        <v>13.5</v>
      </c>
      <c r="AD21">
        <v>0</v>
      </c>
      <c r="AE21">
        <v>0</v>
      </c>
      <c r="AF21">
        <v>31.26</v>
      </c>
      <c r="AG21">
        <v>13.5</v>
      </c>
      <c r="AH21">
        <v>0</v>
      </c>
      <c r="AI21">
        <v>1</v>
      </c>
      <c r="AJ21">
        <v>6.71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6</v>
      </c>
      <c r="AT21">
        <v>0.01</v>
      </c>
      <c r="AU21" t="s">
        <v>49</v>
      </c>
      <c r="AV21">
        <v>0</v>
      </c>
      <c r="AW21">
        <v>2</v>
      </c>
      <c r="AX21">
        <v>16810167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Y21*Source!I33</f>
        <v>3.4499999999999999E-3</v>
      </c>
      <c r="CY21">
        <f>AB21</f>
        <v>209.75</v>
      </c>
      <c r="CZ21">
        <f>AF21</f>
        <v>31.26</v>
      </c>
      <c r="DA21">
        <f>AJ21</f>
        <v>6.71</v>
      </c>
      <c r="DB21">
        <f>ROUND((ROUND(AT21*CZ21,2)*0.3),2)</f>
        <v>0.09</v>
      </c>
      <c r="DC21">
        <f>ROUND((ROUND(AT21*AG21,2)*0.3),2)</f>
        <v>0.04</v>
      </c>
    </row>
    <row r="22" spans="1:107" x14ac:dyDescent="0.2">
      <c r="A22">
        <f>ROW(Source!A33)</f>
        <v>33</v>
      </c>
      <c r="B22">
        <v>16808636</v>
      </c>
      <c r="C22">
        <v>16810158</v>
      </c>
      <c r="D22">
        <v>15170076</v>
      </c>
      <c r="E22">
        <v>1</v>
      </c>
      <c r="F22">
        <v>1</v>
      </c>
      <c r="G22">
        <v>1</v>
      </c>
      <c r="H22">
        <v>3</v>
      </c>
      <c r="I22" t="s">
        <v>741</v>
      </c>
      <c r="J22" t="s">
        <v>742</v>
      </c>
      <c r="K22" t="s">
        <v>743</v>
      </c>
      <c r="L22">
        <v>1356</v>
      </c>
      <c r="N22">
        <v>1010</v>
      </c>
      <c r="O22" t="s">
        <v>744</v>
      </c>
      <c r="P22" t="s">
        <v>744</v>
      </c>
      <c r="Q22">
        <v>1000</v>
      </c>
      <c r="W22">
        <v>0</v>
      </c>
      <c r="X22">
        <v>1975348994</v>
      </c>
      <c r="Y22">
        <v>0</v>
      </c>
      <c r="AA22">
        <v>1207.8</v>
      </c>
      <c r="AB22">
        <v>0</v>
      </c>
      <c r="AC22">
        <v>0</v>
      </c>
      <c r="AD22">
        <v>0</v>
      </c>
      <c r="AE22">
        <v>180</v>
      </c>
      <c r="AF22">
        <v>0</v>
      </c>
      <c r="AG22">
        <v>0</v>
      </c>
      <c r="AH22">
        <v>0</v>
      </c>
      <c r="AI22">
        <v>6.71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6</v>
      </c>
      <c r="AT22">
        <v>0.2</v>
      </c>
      <c r="AU22" t="s">
        <v>48</v>
      </c>
      <c r="AV22">
        <v>0</v>
      </c>
      <c r="AW22">
        <v>2</v>
      </c>
      <c r="AX22">
        <v>16810168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Y22*Source!I33</f>
        <v>0</v>
      </c>
      <c r="CY22">
        <f>AA22</f>
        <v>1207.8</v>
      </c>
      <c r="CZ22">
        <f>AE22</f>
        <v>180</v>
      </c>
      <c r="DA22">
        <f>AI22</f>
        <v>6.71</v>
      </c>
      <c r="DB22">
        <f>ROUND((ROUND(AT22*CZ22,2)*0),2)</f>
        <v>0</v>
      </c>
      <c r="DC22">
        <f>ROUND((ROUND(AT22*AG22,2)*0),2)</f>
        <v>0</v>
      </c>
    </row>
    <row r="23" spans="1:107" x14ac:dyDescent="0.2">
      <c r="A23">
        <f>ROW(Source!A33)</f>
        <v>33</v>
      </c>
      <c r="B23">
        <v>16808636</v>
      </c>
      <c r="C23">
        <v>16810158</v>
      </c>
      <c r="D23">
        <v>15170438</v>
      </c>
      <c r="E23">
        <v>1</v>
      </c>
      <c r="F23">
        <v>1</v>
      </c>
      <c r="G23">
        <v>1</v>
      </c>
      <c r="H23">
        <v>3</v>
      </c>
      <c r="I23" t="s">
        <v>745</v>
      </c>
      <c r="J23" t="s">
        <v>746</v>
      </c>
      <c r="K23" t="s">
        <v>747</v>
      </c>
      <c r="L23">
        <v>1348</v>
      </c>
      <c r="N23">
        <v>1009</v>
      </c>
      <c r="O23" t="s">
        <v>104</v>
      </c>
      <c r="P23" t="s">
        <v>104</v>
      </c>
      <c r="Q23">
        <v>1000</v>
      </c>
      <c r="W23">
        <v>0</v>
      </c>
      <c r="X23">
        <v>-1755229539</v>
      </c>
      <c r="Y23">
        <v>0</v>
      </c>
      <c r="AA23">
        <v>83405.3</v>
      </c>
      <c r="AB23">
        <v>0</v>
      </c>
      <c r="AC23">
        <v>0</v>
      </c>
      <c r="AD23">
        <v>0</v>
      </c>
      <c r="AE23">
        <v>12430</v>
      </c>
      <c r="AF23">
        <v>0</v>
      </c>
      <c r="AG23">
        <v>0</v>
      </c>
      <c r="AH23">
        <v>0</v>
      </c>
      <c r="AI23">
        <v>6.71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6</v>
      </c>
      <c r="AT23">
        <v>1E-3</v>
      </c>
      <c r="AU23" t="s">
        <v>48</v>
      </c>
      <c r="AV23">
        <v>0</v>
      </c>
      <c r="AW23">
        <v>2</v>
      </c>
      <c r="AX23">
        <v>16810169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Y23*Source!I33</f>
        <v>0</v>
      </c>
      <c r="CY23">
        <f>AA23</f>
        <v>83405.3</v>
      </c>
      <c r="CZ23">
        <f>AE23</f>
        <v>12430</v>
      </c>
      <c r="DA23">
        <f>AI23</f>
        <v>6.71</v>
      </c>
      <c r="DB23">
        <f>ROUND((ROUND(AT23*CZ23,2)*0),2)</f>
        <v>0</v>
      </c>
      <c r="DC23">
        <f>ROUND((ROUND(AT23*AG23,2)*0),2)</f>
        <v>0</v>
      </c>
    </row>
    <row r="24" spans="1:107" x14ac:dyDescent="0.2">
      <c r="A24">
        <f>ROW(Source!A33)</f>
        <v>33</v>
      </c>
      <c r="B24">
        <v>16808636</v>
      </c>
      <c r="C24">
        <v>16810158</v>
      </c>
      <c r="D24">
        <v>15164559</v>
      </c>
      <c r="E24">
        <v>17</v>
      </c>
      <c r="F24">
        <v>1</v>
      </c>
      <c r="G24">
        <v>1</v>
      </c>
      <c r="H24">
        <v>3</v>
      </c>
      <c r="I24" t="s">
        <v>736</v>
      </c>
      <c r="J24" t="s">
        <v>6</v>
      </c>
      <c r="K24" t="s">
        <v>737</v>
      </c>
      <c r="L24">
        <v>1374</v>
      </c>
      <c r="N24">
        <v>1013</v>
      </c>
      <c r="O24" t="s">
        <v>738</v>
      </c>
      <c r="P24" t="s">
        <v>738</v>
      </c>
      <c r="Q24">
        <v>1</v>
      </c>
      <c r="W24">
        <v>0</v>
      </c>
      <c r="X24">
        <v>-1731369543</v>
      </c>
      <c r="Y24">
        <v>0</v>
      </c>
      <c r="AA24">
        <v>1</v>
      </c>
      <c r="AB24">
        <v>0</v>
      </c>
      <c r="AC24">
        <v>0</v>
      </c>
      <c r="AD24">
        <v>0</v>
      </c>
      <c r="AE24">
        <v>1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6</v>
      </c>
      <c r="AT24">
        <v>3.1</v>
      </c>
      <c r="AU24" t="s">
        <v>48</v>
      </c>
      <c r="AV24">
        <v>0</v>
      </c>
      <c r="AW24">
        <v>2</v>
      </c>
      <c r="AX24">
        <v>16810170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Y24*Source!I33</f>
        <v>0</v>
      </c>
      <c r="CY24">
        <f>AA24</f>
        <v>1</v>
      </c>
      <c r="CZ24">
        <f>AE24</f>
        <v>1</v>
      </c>
      <c r="DA24">
        <f>AI24</f>
        <v>1</v>
      </c>
      <c r="DB24">
        <f>ROUND((ROUND(AT24*CZ24,2)*0),2)</f>
        <v>0</v>
      </c>
      <c r="DC24">
        <f>ROUND((ROUND(AT24*AG24,2)*0),2)</f>
        <v>0</v>
      </c>
    </row>
    <row r="25" spans="1:107" x14ac:dyDescent="0.2">
      <c r="A25">
        <f>ROW(Source!A34)</f>
        <v>34</v>
      </c>
      <c r="B25">
        <v>16808636</v>
      </c>
      <c r="C25">
        <v>16810171</v>
      </c>
      <c r="D25">
        <v>15436556</v>
      </c>
      <c r="E25">
        <v>1</v>
      </c>
      <c r="F25">
        <v>1</v>
      </c>
      <c r="G25">
        <v>1</v>
      </c>
      <c r="H25">
        <v>1</v>
      </c>
      <c r="I25" t="s">
        <v>748</v>
      </c>
      <c r="J25" t="s">
        <v>6</v>
      </c>
      <c r="K25" t="s">
        <v>749</v>
      </c>
      <c r="L25">
        <v>1191</v>
      </c>
      <c r="N25">
        <v>1013</v>
      </c>
      <c r="O25" t="s">
        <v>708</v>
      </c>
      <c r="P25" t="s">
        <v>708</v>
      </c>
      <c r="Q25">
        <v>1</v>
      </c>
      <c r="W25">
        <v>0</v>
      </c>
      <c r="X25">
        <v>1069510174</v>
      </c>
      <c r="Y25">
        <v>0.252</v>
      </c>
      <c r="AA25">
        <v>0</v>
      </c>
      <c r="AB25">
        <v>0</v>
      </c>
      <c r="AC25">
        <v>0</v>
      </c>
      <c r="AD25">
        <v>64.55</v>
      </c>
      <c r="AE25">
        <v>0</v>
      </c>
      <c r="AF25">
        <v>0</v>
      </c>
      <c r="AG25">
        <v>0</v>
      </c>
      <c r="AH25">
        <v>9.6199999999999992</v>
      </c>
      <c r="AI25">
        <v>1</v>
      </c>
      <c r="AJ25">
        <v>1</v>
      </c>
      <c r="AK25">
        <v>1</v>
      </c>
      <c r="AL25">
        <v>6.71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6</v>
      </c>
      <c r="AT25">
        <v>0.84</v>
      </c>
      <c r="AU25" t="s">
        <v>49</v>
      </c>
      <c r="AV25">
        <v>1</v>
      </c>
      <c r="AW25">
        <v>2</v>
      </c>
      <c r="AX25">
        <v>16810179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Y25*Source!I34</f>
        <v>5.2919999999999998</v>
      </c>
      <c r="CY25">
        <f>AD25</f>
        <v>64.55</v>
      </c>
      <c r="CZ25">
        <f>AH25</f>
        <v>9.6199999999999992</v>
      </c>
      <c r="DA25">
        <f>AL25</f>
        <v>6.71</v>
      </c>
      <c r="DB25">
        <f>ROUND((ROUND(AT25*CZ25,2)*0.3),2)</f>
        <v>2.42</v>
      </c>
      <c r="DC25">
        <f>ROUND((ROUND(AT25*AG25,2)*0.3),2)</f>
        <v>0</v>
      </c>
    </row>
    <row r="26" spans="1:107" x14ac:dyDescent="0.2">
      <c r="A26">
        <f>ROW(Source!A34)</f>
        <v>34</v>
      </c>
      <c r="B26">
        <v>16808636</v>
      </c>
      <c r="C26">
        <v>16810171</v>
      </c>
      <c r="D26">
        <v>15165918</v>
      </c>
      <c r="E26">
        <v>1</v>
      </c>
      <c r="F26">
        <v>1</v>
      </c>
      <c r="G26">
        <v>1</v>
      </c>
      <c r="H26">
        <v>3</v>
      </c>
      <c r="I26" t="s">
        <v>750</v>
      </c>
      <c r="J26" t="s">
        <v>751</v>
      </c>
      <c r="K26" t="s">
        <v>752</v>
      </c>
      <c r="L26">
        <v>1346</v>
      </c>
      <c r="N26">
        <v>1009</v>
      </c>
      <c r="O26" t="s">
        <v>300</v>
      </c>
      <c r="P26" t="s">
        <v>300</v>
      </c>
      <c r="Q26">
        <v>1</v>
      </c>
      <c r="W26">
        <v>0</v>
      </c>
      <c r="X26">
        <v>1559187994</v>
      </c>
      <c r="Y26">
        <v>0</v>
      </c>
      <c r="AA26">
        <v>186.14</v>
      </c>
      <c r="AB26">
        <v>0</v>
      </c>
      <c r="AC26">
        <v>0</v>
      </c>
      <c r="AD26">
        <v>0</v>
      </c>
      <c r="AE26">
        <v>27.74</v>
      </c>
      <c r="AF26">
        <v>0</v>
      </c>
      <c r="AG26">
        <v>0</v>
      </c>
      <c r="AH26">
        <v>0</v>
      </c>
      <c r="AI26">
        <v>6.71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6</v>
      </c>
      <c r="AT26">
        <v>2.0000000000000001E-4</v>
      </c>
      <c r="AU26" t="s">
        <v>48</v>
      </c>
      <c r="AV26">
        <v>0</v>
      </c>
      <c r="AW26">
        <v>2</v>
      </c>
      <c r="AX26">
        <v>16810180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Y26*Source!I34</f>
        <v>0</v>
      </c>
      <c r="CY26">
        <f t="shared" ref="CY26:CY31" si="2">AA26</f>
        <v>186.14</v>
      </c>
      <c r="CZ26">
        <f t="shared" ref="CZ26:CZ31" si="3">AE26</f>
        <v>27.74</v>
      </c>
      <c r="DA26">
        <f t="shared" ref="DA26:DA31" si="4">AI26</f>
        <v>6.71</v>
      </c>
      <c r="DB26">
        <f t="shared" ref="DB26:DB31" si="5">ROUND((ROUND(AT26*CZ26,2)*0),2)</f>
        <v>0</v>
      </c>
      <c r="DC26">
        <f t="shared" ref="DC26:DC31" si="6">ROUND((ROUND(AT26*AG26,2)*0),2)</f>
        <v>0</v>
      </c>
    </row>
    <row r="27" spans="1:107" x14ac:dyDescent="0.2">
      <c r="A27">
        <f>ROW(Source!A34)</f>
        <v>34</v>
      </c>
      <c r="B27">
        <v>16808636</v>
      </c>
      <c r="C27">
        <v>16810171</v>
      </c>
      <c r="D27">
        <v>15170072</v>
      </c>
      <c r="E27">
        <v>1</v>
      </c>
      <c r="F27">
        <v>1</v>
      </c>
      <c r="G27">
        <v>1</v>
      </c>
      <c r="H27">
        <v>3</v>
      </c>
      <c r="I27" t="s">
        <v>753</v>
      </c>
      <c r="J27" t="s">
        <v>754</v>
      </c>
      <c r="K27" t="s">
        <v>755</v>
      </c>
      <c r="L27">
        <v>1355</v>
      </c>
      <c r="N27">
        <v>1010</v>
      </c>
      <c r="O27" t="s">
        <v>326</v>
      </c>
      <c r="P27" t="s">
        <v>326</v>
      </c>
      <c r="Q27">
        <v>100</v>
      </c>
      <c r="W27">
        <v>0</v>
      </c>
      <c r="X27">
        <v>-66531260</v>
      </c>
      <c r="Y27">
        <v>0</v>
      </c>
      <c r="AA27">
        <v>556.92999999999995</v>
      </c>
      <c r="AB27">
        <v>0</v>
      </c>
      <c r="AC27">
        <v>0</v>
      </c>
      <c r="AD27">
        <v>0</v>
      </c>
      <c r="AE27">
        <v>83</v>
      </c>
      <c r="AF27">
        <v>0</v>
      </c>
      <c r="AG27">
        <v>0</v>
      </c>
      <c r="AH27">
        <v>0</v>
      </c>
      <c r="AI27">
        <v>6.71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6</v>
      </c>
      <c r="AT27">
        <v>0.01</v>
      </c>
      <c r="AU27" t="s">
        <v>48</v>
      </c>
      <c r="AV27">
        <v>0</v>
      </c>
      <c r="AW27">
        <v>2</v>
      </c>
      <c r="AX27">
        <v>16810181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Y27*Source!I34</f>
        <v>0</v>
      </c>
      <c r="CY27">
        <f t="shared" si="2"/>
        <v>556.92999999999995</v>
      </c>
      <c r="CZ27">
        <f t="shared" si="3"/>
        <v>83</v>
      </c>
      <c r="DA27">
        <f t="shared" si="4"/>
        <v>6.71</v>
      </c>
      <c r="DB27">
        <f t="shared" si="5"/>
        <v>0</v>
      </c>
      <c r="DC27">
        <f t="shared" si="6"/>
        <v>0</v>
      </c>
    </row>
    <row r="28" spans="1:107" x14ac:dyDescent="0.2">
      <c r="A28">
        <f>ROW(Source!A34)</f>
        <v>34</v>
      </c>
      <c r="B28">
        <v>16808636</v>
      </c>
      <c r="C28">
        <v>16810171</v>
      </c>
      <c r="D28">
        <v>15171982</v>
      </c>
      <c r="E28">
        <v>1</v>
      </c>
      <c r="F28">
        <v>1</v>
      </c>
      <c r="G28">
        <v>1</v>
      </c>
      <c r="H28">
        <v>3</v>
      </c>
      <c r="I28" t="s">
        <v>756</v>
      </c>
      <c r="J28" t="s">
        <v>757</v>
      </c>
      <c r="K28" t="s">
        <v>758</v>
      </c>
      <c r="L28">
        <v>1348</v>
      </c>
      <c r="N28">
        <v>1009</v>
      </c>
      <c r="O28" t="s">
        <v>104</v>
      </c>
      <c r="P28" t="s">
        <v>104</v>
      </c>
      <c r="Q28">
        <v>1000</v>
      </c>
      <c r="W28">
        <v>0</v>
      </c>
      <c r="X28">
        <v>-1421715385</v>
      </c>
      <c r="Y28">
        <v>0</v>
      </c>
      <c r="AA28">
        <v>4898.17</v>
      </c>
      <c r="AB28">
        <v>0</v>
      </c>
      <c r="AC28">
        <v>0</v>
      </c>
      <c r="AD28">
        <v>0</v>
      </c>
      <c r="AE28">
        <v>729.98</v>
      </c>
      <c r="AF28">
        <v>0</v>
      </c>
      <c r="AG28">
        <v>0</v>
      </c>
      <c r="AH28">
        <v>0</v>
      </c>
      <c r="AI28">
        <v>6.71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6</v>
      </c>
      <c r="AT28">
        <v>1.0000000000000001E-5</v>
      </c>
      <c r="AU28" t="s">
        <v>48</v>
      </c>
      <c r="AV28">
        <v>0</v>
      </c>
      <c r="AW28">
        <v>2</v>
      </c>
      <c r="AX28">
        <v>16810182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Y28*Source!I34</f>
        <v>0</v>
      </c>
      <c r="CY28">
        <f t="shared" si="2"/>
        <v>4898.17</v>
      </c>
      <c r="CZ28">
        <f t="shared" si="3"/>
        <v>729.98</v>
      </c>
      <c r="DA28">
        <f t="shared" si="4"/>
        <v>6.71</v>
      </c>
      <c r="DB28">
        <f t="shared" si="5"/>
        <v>0</v>
      </c>
      <c r="DC28">
        <f t="shared" si="6"/>
        <v>0</v>
      </c>
    </row>
    <row r="29" spans="1:107" x14ac:dyDescent="0.2">
      <c r="A29">
        <f>ROW(Source!A34)</f>
        <v>34</v>
      </c>
      <c r="B29">
        <v>16808636</v>
      </c>
      <c r="C29">
        <v>16810171</v>
      </c>
      <c r="D29">
        <v>15195043</v>
      </c>
      <c r="E29">
        <v>1</v>
      </c>
      <c r="F29">
        <v>1</v>
      </c>
      <c r="G29">
        <v>1</v>
      </c>
      <c r="H29">
        <v>3</v>
      </c>
      <c r="I29" t="s">
        <v>759</v>
      </c>
      <c r="J29" t="s">
        <v>760</v>
      </c>
      <c r="K29" t="s">
        <v>761</v>
      </c>
      <c r="L29">
        <v>1346</v>
      </c>
      <c r="N29">
        <v>1009</v>
      </c>
      <c r="O29" t="s">
        <v>300</v>
      </c>
      <c r="P29" t="s">
        <v>300</v>
      </c>
      <c r="Q29">
        <v>1</v>
      </c>
      <c r="W29">
        <v>0</v>
      </c>
      <c r="X29">
        <v>-1726842289</v>
      </c>
      <c r="Y29">
        <v>0</v>
      </c>
      <c r="AA29">
        <v>441.18</v>
      </c>
      <c r="AB29">
        <v>0</v>
      </c>
      <c r="AC29">
        <v>0</v>
      </c>
      <c r="AD29">
        <v>0</v>
      </c>
      <c r="AE29">
        <v>65.75</v>
      </c>
      <c r="AF29">
        <v>0</v>
      </c>
      <c r="AG29">
        <v>0</v>
      </c>
      <c r="AH29">
        <v>0</v>
      </c>
      <c r="AI29">
        <v>6.71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6</v>
      </c>
      <c r="AT29">
        <v>2E-3</v>
      </c>
      <c r="AU29" t="s">
        <v>48</v>
      </c>
      <c r="AV29">
        <v>0</v>
      </c>
      <c r="AW29">
        <v>2</v>
      </c>
      <c r="AX29">
        <v>16810183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Y29*Source!I34</f>
        <v>0</v>
      </c>
      <c r="CY29">
        <f t="shared" si="2"/>
        <v>441.18</v>
      </c>
      <c r="CZ29">
        <f t="shared" si="3"/>
        <v>65.75</v>
      </c>
      <c r="DA29">
        <f t="shared" si="4"/>
        <v>6.71</v>
      </c>
      <c r="DB29">
        <f t="shared" si="5"/>
        <v>0</v>
      </c>
      <c r="DC29">
        <f t="shared" si="6"/>
        <v>0</v>
      </c>
    </row>
    <row r="30" spans="1:107" x14ac:dyDescent="0.2">
      <c r="A30">
        <f>ROW(Source!A34)</f>
        <v>34</v>
      </c>
      <c r="B30">
        <v>16808636</v>
      </c>
      <c r="C30">
        <v>16810171</v>
      </c>
      <c r="D30">
        <v>15202502</v>
      </c>
      <c r="E30">
        <v>1</v>
      </c>
      <c r="F30">
        <v>1</v>
      </c>
      <c r="G30">
        <v>1</v>
      </c>
      <c r="H30">
        <v>3</v>
      </c>
      <c r="I30" t="s">
        <v>762</v>
      </c>
      <c r="J30" t="s">
        <v>763</v>
      </c>
      <c r="K30" t="s">
        <v>764</v>
      </c>
      <c r="L30">
        <v>1346</v>
      </c>
      <c r="N30">
        <v>1009</v>
      </c>
      <c r="O30" t="s">
        <v>300</v>
      </c>
      <c r="P30" t="s">
        <v>300</v>
      </c>
      <c r="Q30">
        <v>1</v>
      </c>
      <c r="W30">
        <v>0</v>
      </c>
      <c r="X30">
        <v>497371595</v>
      </c>
      <c r="Y30">
        <v>0</v>
      </c>
      <c r="AA30">
        <v>194.12</v>
      </c>
      <c r="AB30">
        <v>0</v>
      </c>
      <c r="AC30">
        <v>0</v>
      </c>
      <c r="AD30">
        <v>0</v>
      </c>
      <c r="AE30">
        <v>28.93</v>
      </c>
      <c r="AF30">
        <v>0</v>
      </c>
      <c r="AG30">
        <v>0</v>
      </c>
      <c r="AH30">
        <v>0</v>
      </c>
      <c r="AI30">
        <v>6.71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6</v>
      </c>
      <c r="AT30">
        <v>5.0000000000000001E-3</v>
      </c>
      <c r="AU30" t="s">
        <v>48</v>
      </c>
      <c r="AV30">
        <v>0</v>
      </c>
      <c r="AW30">
        <v>2</v>
      </c>
      <c r="AX30">
        <v>16810184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Y30*Source!I34</f>
        <v>0</v>
      </c>
      <c r="CY30">
        <f t="shared" si="2"/>
        <v>194.12</v>
      </c>
      <c r="CZ30">
        <f t="shared" si="3"/>
        <v>28.93</v>
      </c>
      <c r="DA30">
        <f t="shared" si="4"/>
        <v>6.71</v>
      </c>
      <c r="DB30">
        <f t="shared" si="5"/>
        <v>0</v>
      </c>
      <c r="DC30">
        <f t="shared" si="6"/>
        <v>0</v>
      </c>
    </row>
    <row r="31" spans="1:107" x14ac:dyDescent="0.2">
      <c r="A31">
        <f>ROW(Source!A34)</f>
        <v>34</v>
      </c>
      <c r="B31">
        <v>16808636</v>
      </c>
      <c r="C31">
        <v>16810171</v>
      </c>
      <c r="D31">
        <v>15164559</v>
      </c>
      <c r="E31">
        <v>17</v>
      </c>
      <c r="F31">
        <v>1</v>
      </c>
      <c r="G31">
        <v>1</v>
      </c>
      <c r="H31">
        <v>3</v>
      </c>
      <c r="I31" t="s">
        <v>736</v>
      </c>
      <c r="J31" t="s">
        <v>6</v>
      </c>
      <c r="K31" t="s">
        <v>737</v>
      </c>
      <c r="L31">
        <v>1374</v>
      </c>
      <c r="N31">
        <v>1013</v>
      </c>
      <c r="O31" t="s">
        <v>738</v>
      </c>
      <c r="P31" t="s">
        <v>738</v>
      </c>
      <c r="Q31">
        <v>1</v>
      </c>
      <c r="W31">
        <v>0</v>
      </c>
      <c r="X31">
        <v>-1731369543</v>
      </c>
      <c r="Y31">
        <v>0</v>
      </c>
      <c r="AA31">
        <v>1</v>
      </c>
      <c r="AB31">
        <v>0</v>
      </c>
      <c r="AC31">
        <v>0</v>
      </c>
      <c r="AD31">
        <v>0</v>
      </c>
      <c r="AE31">
        <v>1</v>
      </c>
      <c r="AF31">
        <v>0</v>
      </c>
      <c r="AG31">
        <v>0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</v>
      </c>
      <c r="AT31">
        <v>0.16</v>
      </c>
      <c r="AU31" t="s">
        <v>48</v>
      </c>
      <c r="AV31">
        <v>0</v>
      </c>
      <c r="AW31">
        <v>2</v>
      </c>
      <c r="AX31">
        <v>16810185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Y31*Source!I34</f>
        <v>0</v>
      </c>
      <c r="CY31">
        <f t="shared" si="2"/>
        <v>1</v>
      </c>
      <c r="CZ31">
        <f t="shared" si="3"/>
        <v>1</v>
      </c>
      <c r="DA31">
        <f t="shared" si="4"/>
        <v>1</v>
      </c>
      <c r="DB31">
        <f t="shared" si="5"/>
        <v>0</v>
      </c>
      <c r="DC31">
        <f t="shared" si="6"/>
        <v>0</v>
      </c>
    </row>
    <row r="32" spans="1:107" x14ac:dyDescent="0.2">
      <c r="A32">
        <f>ROW(Source!A35)</f>
        <v>35</v>
      </c>
      <c r="B32">
        <v>16808636</v>
      </c>
      <c r="C32">
        <v>16810186</v>
      </c>
      <c r="D32">
        <v>15430447</v>
      </c>
      <c r="E32">
        <v>1</v>
      </c>
      <c r="F32">
        <v>1</v>
      </c>
      <c r="G32">
        <v>1</v>
      </c>
      <c r="H32">
        <v>1</v>
      </c>
      <c r="I32" t="s">
        <v>765</v>
      </c>
      <c r="J32" t="s">
        <v>6</v>
      </c>
      <c r="K32" t="s">
        <v>766</v>
      </c>
      <c r="L32">
        <v>1191</v>
      </c>
      <c r="N32">
        <v>1013</v>
      </c>
      <c r="O32" t="s">
        <v>708</v>
      </c>
      <c r="P32" t="s">
        <v>708</v>
      </c>
      <c r="Q32">
        <v>1</v>
      </c>
      <c r="W32">
        <v>0</v>
      </c>
      <c r="X32">
        <v>145020957</v>
      </c>
      <c r="Y32">
        <v>1.2</v>
      </c>
      <c r="AA32">
        <v>0</v>
      </c>
      <c r="AB32">
        <v>0</v>
      </c>
      <c r="AC32">
        <v>0</v>
      </c>
      <c r="AD32">
        <v>60.86</v>
      </c>
      <c r="AE32">
        <v>0</v>
      </c>
      <c r="AF32">
        <v>0</v>
      </c>
      <c r="AG32">
        <v>0</v>
      </c>
      <c r="AH32">
        <v>9.07</v>
      </c>
      <c r="AI32">
        <v>1</v>
      </c>
      <c r="AJ32">
        <v>1</v>
      </c>
      <c r="AK32">
        <v>1</v>
      </c>
      <c r="AL32">
        <v>6.71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6</v>
      </c>
      <c r="AT32">
        <v>2</v>
      </c>
      <c r="AU32" t="s">
        <v>68</v>
      </c>
      <c r="AV32">
        <v>1</v>
      </c>
      <c r="AW32">
        <v>2</v>
      </c>
      <c r="AX32">
        <v>16810192</v>
      </c>
      <c r="AY32">
        <v>1</v>
      </c>
      <c r="AZ32">
        <v>0</v>
      </c>
      <c r="BA32">
        <v>32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Y32*Source!I35</f>
        <v>7.1999999999999993</v>
      </c>
      <c r="CY32">
        <f>AD32</f>
        <v>60.86</v>
      </c>
      <c r="CZ32">
        <f>AH32</f>
        <v>9.07</v>
      </c>
      <c r="DA32">
        <f>AL32</f>
        <v>6.71</v>
      </c>
      <c r="DB32">
        <f>ROUND((ROUND(AT32*CZ32,2)*0.6),2)</f>
        <v>10.88</v>
      </c>
      <c r="DC32">
        <f>ROUND((ROUND(AT32*AG32,2)*0.6),2)</f>
        <v>0</v>
      </c>
    </row>
    <row r="33" spans="1:107" x14ac:dyDescent="0.2">
      <c r="A33">
        <f>ROW(Source!A35)</f>
        <v>35</v>
      </c>
      <c r="B33">
        <v>16808636</v>
      </c>
      <c r="C33">
        <v>16810186</v>
      </c>
      <c r="D33">
        <v>15167589</v>
      </c>
      <c r="E33">
        <v>1</v>
      </c>
      <c r="F33">
        <v>1</v>
      </c>
      <c r="G33">
        <v>1</v>
      </c>
      <c r="H33">
        <v>3</v>
      </c>
      <c r="I33" t="s">
        <v>767</v>
      </c>
      <c r="J33" t="s">
        <v>768</v>
      </c>
      <c r="K33" t="s">
        <v>769</v>
      </c>
      <c r="L33">
        <v>1346</v>
      </c>
      <c r="N33">
        <v>1009</v>
      </c>
      <c r="O33" t="s">
        <v>300</v>
      </c>
      <c r="P33" t="s">
        <v>300</v>
      </c>
      <c r="Q33">
        <v>1</v>
      </c>
      <c r="W33">
        <v>0</v>
      </c>
      <c r="X33">
        <v>-2124370092</v>
      </c>
      <c r="Y33">
        <v>0</v>
      </c>
      <c r="AA33">
        <v>612.55999999999995</v>
      </c>
      <c r="AB33">
        <v>0</v>
      </c>
      <c r="AC33">
        <v>0</v>
      </c>
      <c r="AD33">
        <v>0</v>
      </c>
      <c r="AE33">
        <v>91.29</v>
      </c>
      <c r="AF33">
        <v>0</v>
      </c>
      <c r="AG33">
        <v>0</v>
      </c>
      <c r="AH33">
        <v>0</v>
      </c>
      <c r="AI33">
        <v>6.71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6</v>
      </c>
      <c r="AT33">
        <v>1.4999999999999999E-2</v>
      </c>
      <c r="AU33" t="s">
        <v>48</v>
      </c>
      <c r="AV33">
        <v>0</v>
      </c>
      <c r="AW33">
        <v>2</v>
      </c>
      <c r="AX33">
        <v>16810193</v>
      </c>
      <c r="AY33">
        <v>1</v>
      </c>
      <c r="AZ33">
        <v>0</v>
      </c>
      <c r="BA33">
        <v>33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Y33*Source!I35</f>
        <v>0</v>
      </c>
      <c r="CY33">
        <f>AA33</f>
        <v>612.55999999999995</v>
      </c>
      <c r="CZ33">
        <f>AE33</f>
        <v>91.29</v>
      </c>
      <c r="DA33">
        <f>AI33</f>
        <v>6.71</v>
      </c>
      <c r="DB33">
        <f>ROUND((ROUND(AT33*CZ33,2)*0),2)</f>
        <v>0</v>
      </c>
      <c r="DC33">
        <f>ROUND((ROUND(AT33*AG33,2)*0),2)</f>
        <v>0</v>
      </c>
    </row>
    <row r="34" spans="1:107" x14ac:dyDescent="0.2">
      <c r="A34">
        <f>ROW(Source!A35)</f>
        <v>35</v>
      </c>
      <c r="B34">
        <v>16808636</v>
      </c>
      <c r="C34">
        <v>16810186</v>
      </c>
      <c r="D34">
        <v>15225559</v>
      </c>
      <c r="E34">
        <v>1</v>
      </c>
      <c r="F34">
        <v>1</v>
      </c>
      <c r="G34">
        <v>1</v>
      </c>
      <c r="H34">
        <v>3</v>
      </c>
      <c r="I34" t="s">
        <v>770</v>
      </c>
      <c r="J34" t="s">
        <v>771</v>
      </c>
      <c r="K34" t="s">
        <v>772</v>
      </c>
      <c r="L34">
        <v>1477</v>
      </c>
      <c r="N34">
        <v>1013</v>
      </c>
      <c r="O34" t="s">
        <v>463</v>
      </c>
      <c r="P34" t="s">
        <v>465</v>
      </c>
      <c r="Q34">
        <v>1</v>
      </c>
      <c r="W34">
        <v>0</v>
      </c>
      <c r="X34">
        <v>2077511803</v>
      </c>
      <c r="Y34">
        <v>0</v>
      </c>
      <c r="AA34">
        <v>12207.5</v>
      </c>
      <c r="AB34">
        <v>0</v>
      </c>
      <c r="AC34">
        <v>0</v>
      </c>
      <c r="AD34">
        <v>0</v>
      </c>
      <c r="AE34">
        <v>1819.3</v>
      </c>
      <c r="AF34">
        <v>0</v>
      </c>
      <c r="AG34">
        <v>0</v>
      </c>
      <c r="AH34">
        <v>0</v>
      </c>
      <c r="AI34">
        <v>6.71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6</v>
      </c>
      <c r="AT34">
        <v>5.0000000000000001E-3</v>
      </c>
      <c r="AU34" t="s">
        <v>48</v>
      </c>
      <c r="AV34">
        <v>0</v>
      </c>
      <c r="AW34">
        <v>2</v>
      </c>
      <c r="AX34">
        <v>16810194</v>
      </c>
      <c r="AY34">
        <v>1</v>
      </c>
      <c r="AZ34">
        <v>0</v>
      </c>
      <c r="BA34">
        <v>34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Y34*Source!I35</f>
        <v>0</v>
      </c>
      <c r="CY34">
        <f>AA34</f>
        <v>12207.5</v>
      </c>
      <c r="CZ34">
        <f>AE34</f>
        <v>1819.3</v>
      </c>
      <c r="DA34">
        <f>AI34</f>
        <v>6.71</v>
      </c>
      <c r="DB34">
        <f>ROUND((ROUND(AT34*CZ34,2)*0),2)</f>
        <v>0</v>
      </c>
      <c r="DC34">
        <f>ROUND((ROUND(AT34*AG34,2)*0),2)</f>
        <v>0</v>
      </c>
    </row>
    <row r="35" spans="1:107" x14ac:dyDescent="0.2">
      <c r="A35">
        <f>ROW(Source!A35)</f>
        <v>35</v>
      </c>
      <c r="B35">
        <v>16808636</v>
      </c>
      <c r="C35">
        <v>16810186</v>
      </c>
      <c r="D35">
        <v>15226127</v>
      </c>
      <c r="E35">
        <v>1</v>
      </c>
      <c r="F35">
        <v>1</v>
      </c>
      <c r="G35">
        <v>1</v>
      </c>
      <c r="H35">
        <v>3</v>
      </c>
      <c r="I35" t="s">
        <v>773</v>
      </c>
      <c r="J35" t="s">
        <v>774</v>
      </c>
      <c r="K35" t="s">
        <v>775</v>
      </c>
      <c r="L35">
        <v>1355</v>
      </c>
      <c r="N35">
        <v>1010</v>
      </c>
      <c r="O35" t="s">
        <v>326</v>
      </c>
      <c r="P35" t="s">
        <v>326</v>
      </c>
      <c r="Q35">
        <v>100</v>
      </c>
      <c r="W35">
        <v>0</v>
      </c>
      <c r="X35">
        <v>-803502612</v>
      </c>
      <c r="Y35">
        <v>0</v>
      </c>
      <c r="AA35">
        <v>1100.44</v>
      </c>
      <c r="AB35">
        <v>0</v>
      </c>
      <c r="AC35">
        <v>0</v>
      </c>
      <c r="AD35">
        <v>0</v>
      </c>
      <c r="AE35">
        <v>164</v>
      </c>
      <c r="AF35">
        <v>0</v>
      </c>
      <c r="AG35">
        <v>0</v>
      </c>
      <c r="AH35">
        <v>0</v>
      </c>
      <c r="AI35">
        <v>6.71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6</v>
      </c>
      <c r="AT35">
        <v>1.0999999999999999E-2</v>
      </c>
      <c r="AU35" t="s">
        <v>48</v>
      </c>
      <c r="AV35">
        <v>0</v>
      </c>
      <c r="AW35">
        <v>2</v>
      </c>
      <c r="AX35">
        <v>16810195</v>
      </c>
      <c r="AY35">
        <v>1</v>
      </c>
      <c r="AZ35">
        <v>0</v>
      </c>
      <c r="BA35">
        <v>35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Y35*Source!I35</f>
        <v>0</v>
      </c>
      <c r="CY35">
        <f>AA35</f>
        <v>1100.44</v>
      </c>
      <c r="CZ35">
        <f>AE35</f>
        <v>164</v>
      </c>
      <c r="DA35">
        <f>AI35</f>
        <v>6.71</v>
      </c>
      <c r="DB35">
        <f>ROUND((ROUND(AT35*CZ35,2)*0),2)</f>
        <v>0</v>
      </c>
      <c r="DC35">
        <f>ROUND((ROUND(AT35*AG35,2)*0),2)</f>
        <v>0</v>
      </c>
    </row>
    <row r="36" spans="1:107" x14ac:dyDescent="0.2">
      <c r="A36">
        <f>ROW(Source!A35)</f>
        <v>35</v>
      </c>
      <c r="B36">
        <v>16808636</v>
      </c>
      <c r="C36">
        <v>16810186</v>
      </c>
      <c r="D36">
        <v>15164559</v>
      </c>
      <c r="E36">
        <v>17</v>
      </c>
      <c r="F36">
        <v>1</v>
      </c>
      <c r="G36">
        <v>1</v>
      </c>
      <c r="H36">
        <v>3</v>
      </c>
      <c r="I36" t="s">
        <v>736</v>
      </c>
      <c r="J36" t="s">
        <v>6</v>
      </c>
      <c r="K36" t="s">
        <v>737</v>
      </c>
      <c r="L36">
        <v>1374</v>
      </c>
      <c r="N36">
        <v>1013</v>
      </c>
      <c r="O36" t="s">
        <v>738</v>
      </c>
      <c r="P36" t="s">
        <v>738</v>
      </c>
      <c r="Q36">
        <v>1</v>
      </c>
      <c r="W36">
        <v>0</v>
      </c>
      <c r="X36">
        <v>-1731369543</v>
      </c>
      <c r="Y36">
        <v>0</v>
      </c>
      <c r="AA36">
        <v>1</v>
      </c>
      <c r="AB36">
        <v>0</v>
      </c>
      <c r="AC36">
        <v>0</v>
      </c>
      <c r="AD36">
        <v>0</v>
      </c>
      <c r="AE36">
        <v>1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6</v>
      </c>
      <c r="AT36">
        <v>0.36</v>
      </c>
      <c r="AU36" t="s">
        <v>48</v>
      </c>
      <c r="AV36">
        <v>0</v>
      </c>
      <c r="AW36">
        <v>2</v>
      </c>
      <c r="AX36">
        <v>16810196</v>
      </c>
      <c r="AY36">
        <v>1</v>
      </c>
      <c r="AZ36">
        <v>0</v>
      </c>
      <c r="BA36">
        <v>36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Y36*Source!I35</f>
        <v>0</v>
      </c>
      <c r="CY36">
        <f>AA36</f>
        <v>1</v>
      </c>
      <c r="CZ36">
        <f>AE36</f>
        <v>1</v>
      </c>
      <c r="DA36">
        <f>AI36</f>
        <v>1</v>
      </c>
      <c r="DB36">
        <f>ROUND((ROUND(AT36*CZ36,2)*0),2)</f>
        <v>0</v>
      </c>
      <c r="DC36">
        <f>ROUND((ROUND(AT36*AG36,2)*0),2)</f>
        <v>0</v>
      </c>
    </row>
    <row r="37" spans="1:107" x14ac:dyDescent="0.2">
      <c r="A37">
        <f>ROW(Source!A36)</f>
        <v>36</v>
      </c>
      <c r="B37">
        <v>16808636</v>
      </c>
      <c r="C37">
        <v>16810197</v>
      </c>
      <c r="D37">
        <v>15430517</v>
      </c>
      <c r="E37">
        <v>1</v>
      </c>
      <c r="F37">
        <v>1</v>
      </c>
      <c r="G37">
        <v>1</v>
      </c>
      <c r="H37">
        <v>1</v>
      </c>
      <c r="I37" t="s">
        <v>717</v>
      </c>
      <c r="J37" t="s">
        <v>6</v>
      </c>
      <c r="K37" t="s">
        <v>718</v>
      </c>
      <c r="L37">
        <v>1191</v>
      </c>
      <c r="N37">
        <v>1013</v>
      </c>
      <c r="O37" t="s">
        <v>708</v>
      </c>
      <c r="P37" t="s">
        <v>708</v>
      </c>
      <c r="Q37">
        <v>1</v>
      </c>
      <c r="W37">
        <v>0</v>
      </c>
      <c r="X37">
        <v>735429535</v>
      </c>
      <c r="Y37">
        <v>35.49</v>
      </c>
      <c r="AA37">
        <v>0</v>
      </c>
      <c r="AB37">
        <v>0</v>
      </c>
      <c r="AC37">
        <v>0</v>
      </c>
      <c r="AD37">
        <v>52.34</v>
      </c>
      <c r="AE37">
        <v>0</v>
      </c>
      <c r="AF37">
        <v>0</v>
      </c>
      <c r="AG37">
        <v>0</v>
      </c>
      <c r="AH37">
        <v>7.8</v>
      </c>
      <c r="AI37">
        <v>1</v>
      </c>
      <c r="AJ37">
        <v>1</v>
      </c>
      <c r="AK37">
        <v>1</v>
      </c>
      <c r="AL37">
        <v>6.71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35.49</v>
      </c>
      <c r="AU37" t="s">
        <v>6</v>
      </c>
      <c r="AV37">
        <v>1</v>
      </c>
      <c r="AW37">
        <v>2</v>
      </c>
      <c r="AX37">
        <v>16810202</v>
      </c>
      <c r="AY37">
        <v>1</v>
      </c>
      <c r="AZ37">
        <v>0</v>
      </c>
      <c r="BA37">
        <v>37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Y37*Source!I36</f>
        <v>53.234999999999999</v>
      </c>
      <c r="CY37">
        <f>AD37</f>
        <v>52.34</v>
      </c>
      <c r="CZ37">
        <f>AH37</f>
        <v>7.8</v>
      </c>
      <c r="DA37">
        <f>AL37</f>
        <v>6.71</v>
      </c>
      <c r="DB37">
        <f>ROUND(ROUND(AT37*CZ37,2),2)</f>
        <v>276.82</v>
      </c>
      <c r="DC37">
        <f>ROUND(ROUND(AT37*AG37,2),2)</f>
        <v>0</v>
      </c>
    </row>
    <row r="38" spans="1:107" x14ac:dyDescent="0.2">
      <c r="A38">
        <f>ROW(Source!A36)</f>
        <v>36</v>
      </c>
      <c r="B38">
        <v>16808636</v>
      </c>
      <c r="C38">
        <v>16810197</v>
      </c>
      <c r="D38">
        <v>15430395</v>
      </c>
      <c r="E38">
        <v>1</v>
      </c>
      <c r="F38">
        <v>1</v>
      </c>
      <c r="G38">
        <v>1</v>
      </c>
      <c r="H38">
        <v>1</v>
      </c>
      <c r="I38" t="s">
        <v>709</v>
      </c>
      <c r="J38" t="s">
        <v>6</v>
      </c>
      <c r="K38" t="s">
        <v>710</v>
      </c>
      <c r="L38">
        <v>1191</v>
      </c>
      <c r="N38">
        <v>1013</v>
      </c>
      <c r="O38" t="s">
        <v>708</v>
      </c>
      <c r="P38" t="s">
        <v>708</v>
      </c>
      <c r="Q38">
        <v>1</v>
      </c>
      <c r="W38">
        <v>0</v>
      </c>
      <c r="X38">
        <v>-1417349443</v>
      </c>
      <c r="Y38">
        <v>0.13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1</v>
      </c>
      <c r="AJ38">
        <v>1</v>
      </c>
      <c r="AK38">
        <v>6.71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6</v>
      </c>
      <c r="AT38">
        <v>0.13</v>
      </c>
      <c r="AU38" t="s">
        <v>6</v>
      </c>
      <c r="AV38">
        <v>2</v>
      </c>
      <c r="AW38">
        <v>2</v>
      </c>
      <c r="AX38">
        <v>16810203</v>
      </c>
      <c r="AY38">
        <v>1</v>
      </c>
      <c r="AZ38">
        <v>0</v>
      </c>
      <c r="BA38">
        <v>38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Y38*Source!I36</f>
        <v>0.19500000000000001</v>
      </c>
      <c r="CY38">
        <f>AD38</f>
        <v>0</v>
      </c>
      <c r="CZ38">
        <f>AH38</f>
        <v>0</v>
      </c>
      <c r="DA38">
        <f>AL38</f>
        <v>1</v>
      </c>
      <c r="DB38">
        <f>ROUND(ROUND(AT38*CZ38,2),2)</f>
        <v>0</v>
      </c>
      <c r="DC38">
        <f>ROUND(ROUND(AT38*AG38,2),2)</f>
        <v>0</v>
      </c>
    </row>
    <row r="39" spans="1:107" x14ac:dyDescent="0.2">
      <c r="A39">
        <f>ROW(Source!A36)</f>
        <v>36</v>
      </c>
      <c r="B39">
        <v>16808636</v>
      </c>
      <c r="C39">
        <v>16810197</v>
      </c>
      <c r="D39">
        <v>15247974</v>
      </c>
      <c r="E39">
        <v>1</v>
      </c>
      <c r="F39">
        <v>1</v>
      </c>
      <c r="G39">
        <v>1</v>
      </c>
      <c r="H39">
        <v>2</v>
      </c>
      <c r="I39" t="s">
        <v>711</v>
      </c>
      <c r="J39" t="s">
        <v>712</v>
      </c>
      <c r="K39" t="s">
        <v>713</v>
      </c>
      <c r="L39">
        <v>1368</v>
      </c>
      <c r="N39">
        <v>1011</v>
      </c>
      <c r="O39" t="s">
        <v>714</v>
      </c>
      <c r="P39" t="s">
        <v>714</v>
      </c>
      <c r="Q39">
        <v>1</v>
      </c>
      <c r="W39">
        <v>0</v>
      </c>
      <c r="X39">
        <v>1188625873</v>
      </c>
      <c r="Y39">
        <v>0.13</v>
      </c>
      <c r="AA39">
        <v>0</v>
      </c>
      <c r="AB39">
        <v>209.75</v>
      </c>
      <c r="AC39">
        <v>13.5</v>
      </c>
      <c r="AD39">
        <v>0</v>
      </c>
      <c r="AE39">
        <v>0</v>
      </c>
      <c r="AF39">
        <v>31.26</v>
      </c>
      <c r="AG39">
        <v>13.5</v>
      </c>
      <c r="AH39">
        <v>0</v>
      </c>
      <c r="AI39">
        <v>1</v>
      </c>
      <c r="AJ39">
        <v>6.71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6</v>
      </c>
      <c r="AT39">
        <v>0.13</v>
      </c>
      <c r="AU39" t="s">
        <v>6</v>
      </c>
      <c r="AV39">
        <v>0</v>
      </c>
      <c r="AW39">
        <v>2</v>
      </c>
      <c r="AX39">
        <v>16810204</v>
      </c>
      <c r="AY39">
        <v>1</v>
      </c>
      <c r="AZ39">
        <v>0</v>
      </c>
      <c r="BA39">
        <v>39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Y39*Source!I36</f>
        <v>0.19500000000000001</v>
      </c>
      <c r="CY39">
        <f>AB39</f>
        <v>209.75</v>
      </c>
      <c r="CZ39">
        <f>AF39</f>
        <v>31.26</v>
      </c>
      <c r="DA39">
        <f>AJ39</f>
        <v>6.71</v>
      </c>
      <c r="DB39">
        <f>ROUND(ROUND(AT39*CZ39,2),2)</f>
        <v>4.0599999999999996</v>
      </c>
      <c r="DC39">
        <f>ROUND(ROUND(AT39*AG39,2),2)</f>
        <v>1.76</v>
      </c>
    </row>
    <row r="40" spans="1:107" x14ac:dyDescent="0.2">
      <c r="A40">
        <f>ROW(Source!A37)</f>
        <v>37</v>
      </c>
      <c r="B40">
        <v>16808636</v>
      </c>
      <c r="C40">
        <v>16810207</v>
      </c>
      <c r="D40">
        <v>15433640</v>
      </c>
      <c r="E40">
        <v>1</v>
      </c>
      <c r="F40">
        <v>1</v>
      </c>
      <c r="G40">
        <v>1</v>
      </c>
      <c r="H40">
        <v>1</v>
      </c>
      <c r="I40" t="s">
        <v>776</v>
      </c>
      <c r="J40" t="s">
        <v>6</v>
      </c>
      <c r="K40" t="s">
        <v>777</v>
      </c>
      <c r="L40">
        <v>1191</v>
      </c>
      <c r="N40">
        <v>1013</v>
      </c>
      <c r="O40" t="s">
        <v>708</v>
      </c>
      <c r="P40" t="s">
        <v>708</v>
      </c>
      <c r="Q40">
        <v>1</v>
      </c>
      <c r="W40">
        <v>0</v>
      </c>
      <c r="X40">
        <v>-1366118074</v>
      </c>
      <c r="Y40">
        <v>31.608000000000001</v>
      </c>
      <c r="AA40">
        <v>0</v>
      </c>
      <c r="AB40">
        <v>0</v>
      </c>
      <c r="AC40">
        <v>0</v>
      </c>
      <c r="AD40">
        <v>53.28</v>
      </c>
      <c r="AE40">
        <v>0</v>
      </c>
      <c r="AF40">
        <v>0</v>
      </c>
      <c r="AG40">
        <v>0</v>
      </c>
      <c r="AH40">
        <v>7.94</v>
      </c>
      <c r="AI40">
        <v>1</v>
      </c>
      <c r="AJ40">
        <v>1</v>
      </c>
      <c r="AK40">
        <v>1</v>
      </c>
      <c r="AL40">
        <v>6.71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6</v>
      </c>
      <c r="AT40">
        <v>39.51</v>
      </c>
      <c r="AU40" t="s">
        <v>82</v>
      </c>
      <c r="AV40">
        <v>1</v>
      </c>
      <c r="AW40">
        <v>2</v>
      </c>
      <c r="AX40">
        <v>16810213</v>
      </c>
      <c r="AY40">
        <v>1</v>
      </c>
      <c r="AZ40">
        <v>0</v>
      </c>
      <c r="BA40">
        <v>41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Y40*Source!I37</f>
        <v>52.564104</v>
      </c>
      <c r="CY40">
        <f>AD40</f>
        <v>53.28</v>
      </c>
      <c r="CZ40">
        <f>AH40</f>
        <v>7.94</v>
      </c>
      <c r="DA40">
        <f>AL40</f>
        <v>6.71</v>
      </c>
      <c r="DB40">
        <f>ROUND((ROUND(AT40*CZ40,2)*0.8),2)</f>
        <v>250.97</v>
      </c>
      <c r="DC40">
        <f>ROUND((ROUND(AT40*AG40,2)*0.8),2)</f>
        <v>0</v>
      </c>
    </row>
    <row r="41" spans="1:107" x14ac:dyDescent="0.2">
      <c r="A41">
        <f>ROW(Source!A37)</f>
        <v>37</v>
      </c>
      <c r="B41">
        <v>16808636</v>
      </c>
      <c r="C41">
        <v>16810207</v>
      </c>
      <c r="D41">
        <v>15430395</v>
      </c>
      <c r="E41">
        <v>1</v>
      </c>
      <c r="F41">
        <v>1</v>
      </c>
      <c r="G41">
        <v>1</v>
      </c>
      <c r="H41">
        <v>1</v>
      </c>
      <c r="I41" t="s">
        <v>709</v>
      </c>
      <c r="J41" t="s">
        <v>6</v>
      </c>
      <c r="K41" t="s">
        <v>710</v>
      </c>
      <c r="L41">
        <v>1191</v>
      </c>
      <c r="N41">
        <v>1013</v>
      </c>
      <c r="O41" t="s">
        <v>708</v>
      </c>
      <c r="P41" t="s">
        <v>708</v>
      </c>
      <c r="Q41">
        <v>1</v>
      </c>
      <c r="W41">
        <v>0</v>
      </c>
      <c r="X41">
        <v>-1417349443</v>
      </c>
      <c r="Y41">
        <v>1.27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1</v>
      </c>
      <c r="AJ41">
        <v>1</v>
      </c>
      <c r="AK41">
        <v>6.71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1.27</v>
      </c>
      <c r="AU41" t="s">
        <v>6</v>
      </c>
      <c r="AV41">
        <v>2</v>
      </c>
      <c r="AW41">
        <v>2</v>
      </c>
      <c r="AX41">
        <v>16810214</v>
      </c>
      <c r="AY41">
        <v>1</v>
      </c>
      <c r="AZ41">
        <v>2048</v>
      </c>
      <c r="BA41">
        <v>42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Y41*Source!I37</f>
        <v>2.1120100000000002</v>
      </c>
      <c r="CY41">
        <f>AD41</f>
        <v>0</v>
      </c>
      <c r="CZ41">
        <f>AH41</f>
        <v>0</v>
      </c>
      <c r="DA41">
        <f>AL41</f>
        <v>1</v>
      </c>
      <c r="DB41">
        <f>ROUND(ROUND(AT41*CZ41,2),2)</f>
        <v>0</v>
      </c>
      <c r="DC41">
        <f>ROUND(ROUND(AT41*AG41,2),2)</f>
        <v>0</v>
      </c>
    </row>
    <row r="42" spans="1:107" x14ac:dyDescent="0.2">
      <c r="A42">
        <f>ROW(Source!A37)</f>
        <v>37</v>
      </c>
      <c r="B42">
        <v>16808636</v>
      </c>
      <c r="C42">
        <v>16810207</v>
      </c>
      <c r="D42">
        <v>15247974</v>
      </c>
      <c r="E42">
        <v>1</v>
      </c>
      <c r="F42">
        <v>1</v>
      </c>
      <c r="G42">
        <v>1</v>
      </c>
      <c r="H42">
        <v>2</v>
      </c>
      <c r="I42" t="s">
        <v>711</v>
      </c>
      <c r="J42" t="s">
        <v>712</v>
      </c>
      <c r="K42" t="s">
        <v>713</v>
      </c>
      <c r="L42">
        <v>1368</v>
      </c>
      <c r="N42">
        <v>1011</v>
      </c>
      <c r="O42" t="s">
        <v>714</v>
      </c>
      <c r="P42" t="s">
        <v>714</v>
      </c>
      <c r="Q42">
        <v>1</v>
      </c>
      <c r="W42">
        <v>0</v>
      </c>
      <c r="X42">
        <v>1188625873</v>
      </c>
      <c r="Y42">
        <v>1.016</v>
      </c>
      <c r="AA42">
        <v>0</v>
      </c>
      <c r="AB42">
        <v>209.75</v>
      </c>
      <c r="AC42">
        <v>13.5</v>
      </c>
      <c r="AD42">
        <v>0</v>
      </c>
      <c r="AE42">
        <v>0</v>
      </c>
      <c r="AF42">
        <v>31.26</v>
      </c>
      <c r="AG42">
        <v>13.5</v>
      </c>
      <c r="AH42">
        <v>0</v>
      </c>
      <c r="AI42">
        <v>1</v>
      </c>
      <c r="AJ42">
        <v>6.71</v>
      </c>
      <c r="AK42">
        <v>1</v>
      </c>
      <c r="AL42">
        <v>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6</v>
      </c>
      <c r="AT42">
        <v>1.27</v>
      </c>
      <c r="AU42" t="s">
        <v>82</v>
      </c>
      <c r="AV42">
        <v>0</v>
      </c>
      <c r="AW42">
        <v>2</v>
      </c>
      <c r="AX42">
        <v>16810215</v>
      </c>
      <c r="AY42">
        <v>1</v>
      </c>
      <c r="AZ42">
        <v>0</v>
      </c>
      <c r="BA42">
        <v>43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Y42*Source!I37</f>
        <v>1.689608</v>
      </c>
      <c r="CY42">
        <f>AB42</f>
        <v>209.75</v>
      </c>
      <c r="CZ42">
        <f>AF42</f>
        <v>31.26</v>
      </c>
      <c r="DA42">
        <f>AJ42</f>
        <v>6.71</v>
      </c>
      <c r="DB42">
        <f>ROUND((ROUND(AT42*CZ42,2)*0.8),2)</f>
        <v>31.76</v>
      </c>
      <c r="DC42">
        <f>ROUND((ROUND(AT42*AG42,2)*0.8),2)</f>
        <v>13.72</v>
      </c>
    </row>
    <row r="43" spans="1:107" x14ac:dyDescent="0.2">
      <c r="A43">
        <f>ROW(Source!A37)</f>
        <v>37</v>
      </c>
      <c r="B43">
        <v>16808636</v>
      </c>
      <c r="C43">
        <v>16810207</v>
      </c>
      <c r="D43">
        <v>15248091</v>
      </c>
      <c r="E43">
        <v>1</v>
      </c>
      <c r="F43">
        <v>1</v>
      </c>
      <c r="G43">
        <v>1</v>
      </c>
      <c r="H43">
        <v>2</v>
      </c>
      <c r="I43" t="s">
        <v>778</v>
      </c>
      <c r="J43" t="s">
        <v>779</v>
      </c>
      <c r="K43" t="s">
        <v>780</v>
      </c>
      <c r="L43">
        <v>1368</v>
      </c>
      <c r="N43">
        <v>1011</v>
      </c>
      <c r="O43" t="s">
        <v>714</v>
      </c>
      <c r="P43" t="s">
        <v>714</v>
      </c>
      <c r="Q43">
        <v>1</v>
      </c>
      <c r="W43">
        <v>0</v>
      </c>
      <c r="X43">
        <v>-1750804799</v>
      </c>
      <c r="Y43">
        <v>7.2560000000000002</v>
      </c>
      <c r="AA43">
        <v>0</v>
      </c>
      <c r="AB43">
        <v>3.36</v>
      </c>
      <c r="AC43">
        <v>0</v>
      </c>
      <c r="AD43">
        <v>0</v>
      </c>
      <c r="AE43">
        <v>0</v>
      </c>
      <c r="AF43">
        <v>0.5</v>
      </c>
      <c r="AG43">
        <v>0</v>
      </c>
      <c r="AH43">
        <v>0</v>
      </c>
      <c r="AI43">
        <v>1</v>
      </c>
      <c r="AJ43">
        <v>6.71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6</v>
      </c>
      <c r="AT43">
        <v>9.07</v>
      </c>
      <c r="AU43" t="s">
        <v>82</v>
      </c>
      <c r="AV43">
        <v>0</v>
      </c>
      <c r="AW43">
        <v>2</v>
      </c>
      <c r="AX43">
        <v>16810216</v>
      </c>
      <c r="AY43">
        <v>1</v>
      </c>
      <c r="AZ43">
        <v>0</v>
      </c>
      <c r="BA43">
        <v>44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Y43*Source!I37</f>
        <v>12.066728000000001</v>
      </c>
      <c r="CY43">
        <f>AB43</f>
        <v>3.36</v>
      </c>
      <c r="CZ43">
        <f>AF43</f>
        <v>0.5</v>
      </c>
      <c r="DA43">
        <f>AJ43</f>
        <v>6.71</v>
      </c>
      <c r="DB43">
        <f>ROUND((ROUND(AT43*CZ43,2)*0.8),2)</f>
        <v>3.63</v>
      </c>
      <c r="DC43">
        <f>ROUND((ROUND(AT43*AG43,2)*0.8),2)</f>
        <v>0</v>
      </c>
    </row>
    <row r="44" spans="1:107" x14ac:dyDescent="0.2">
      <c r="A44">
        <f>ROW(Source!A37)</f>
        <v>37</v>
      </c>
      <c r="B44">
        <v>16808636</v>
      </c>
      <c r="C44">
        <v>16810207</v>
      </c>
      <c r="D44">
        <v>15167286</v>
      </c>
      <c r="E44">
        <v>1</v>
      </c>
      <c r="F44">
        <v>1</v>
      </c>
      <c r="G44">
        <v>1</v>
      </c>
      <c r="H44">
        <v>3</v>
      </c>
      <c r="I44" t="s">
        <v>781</v>
      </c>
      <c r="J44" t="s">
        <v>782</v>
      </c>
      <c r="K44" t="s">
        <v>783</v>
      </c>
      <c r="L44">
        <v>1339</v>
      </c>
      <c r="N44">
        <v>1007</v>
      </c>
      <c r="O44" t="s">
        <v>254</v>
      </c>
      <c r="P44" t="s">
        <v>254</v>
      </c>
      <c r="Q44">
        <v>1</v>
      </c>
      <c r="W44">
        <v>0</v>
      </c>
      <c r="X44">
        <v>-1660354250</v>
      </c>
      <c r="Y44">
        <v>0</v>
      </c>
      <c r="AA44">
        <v>16.37</v>
      </c>
      <c r="AB44">
        <v>0</v>
      </c>
      <c r="AC44">
        <v>0</v>
      </c>
      <c r="AD44">
        <v>0</v>
      </c>
      <c r="AE44">
        <v>2.44</v>
      </c>
      <c r="AF44">
        <v>0</v>
      </c>
      <c r="AG44">
        <v>0</v>
      </c>
      <c r="AH44">
        <v>0</v>
      </c>
      <c r="AI44">
        <v>6.71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6</v>
      </c>
      <c r="AT44">
        <v>3.5</v>
      </c>
      <c r="AU44" t="s">
        <v>48</v>
      </c>
      <c r="AV44">
        <v>0</v>
      </c>
      <c r="AW44">
        <v>2</v>
      </c>
      <c r="AX44">
        <v>16810217</v>
      </c>
      <c r="AY44">
        <v>1</v>
      </c>
      <c r="AZ44">
        <v>0</v>
      </c>
      <c r="BA44">
        <v>45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Y44*Source!I37</f>
        <v>0</v>
      </c>
      <c r="CY44">
        <f>AA44</f>
        <v>16.37</v>
      </c>
      <c r="CZ44">
        <f>AE44</f>
        <v>2.44</v>
      </c>
      <c r="DA44">
        <f>AI44</f>
        <v>6.71</v>
      </c>
      <c r="DB44">
        <f>ROUND((ROUND(AT44*CZ44,2)*0),2)</f>
        <v>0</v>
      </c>
      <c r="DC44">
        <f>ROUND((ROUND(AT44*AG44,2)*0),2)</f>
        <v>0</v>
      </c>
    </row>
    <row r="45" spans="1:107" x14ac:dyDescent="0.2">
      <c r="A45">
        <f>ROW(Source!A38)</f>
        <v>38</v>
      </c>
      <c r="B45">
        <v>16808636</v>
      </c>
      <c r="C45">
        <v>16810219</v>
      </c>
      <c r="D45">
        <v>15430517</v>
      </c>
      <c r="E45">
        <v>1</v>
      </c>
      <c r="F45">
        <v>1</v>
      </c>
      <c r="G45">
        <v>1</v>
      </c>
      <c r="H45">
        <v>1</v>
      </c>
      <c r="I45" t="s">
        <v>717</v>
      </c>
      <c r="J45" t="s">
        <v>6</v>
      </c>
      <c r="K45" t="s">
        <v>718</v>
      </c>
      <c r="L45">
        <v>1191</v>
      </c>
      <c r="N45">
        <v>1013</v>
      </c>
      <c r="O45" t="s">
        <v>708</v>
      </c>
      <c r="P45" t="s">
        <v>708</v>
      </c>
      <c r="Q45">
        <v>1</v>
      </c>
      <c r="W45">
        <v>0</v>
      </c>
      <c r="X45">
        <v>735429535</v>
      </c>
      <c r="Y45">
        <v>3.77</v>
      </c>
      <c r="AA45">
        <v>0</v>
      </c>
      <c r="AB45">
        <v>0</v>
      </c>
      <c r="AC45">
        <v>0</v>
      </c>
      <c r="AD45">
        <v>52.34</v>
      </c>
      <c r="AE45">
        <v>0</v>
      </c>
      <c r="AF45">
        <v>0</v>
      </c>
      <c r="AG45">
        <v>0</v>
      </c>
      <c r="AH45">
        <v>7.8</v>
      </c>
      <c r="AI45">
        <v>1</v>
      </c>
      <c r="AJ45">
        <v>1</v>
      </c>
      <c r="AK45">
        <v>1</v>
      </c>
      <c r="AL45">
        <v>6.71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6</v>
      </c>
      <c r="AT45">
        <v>3.77</v>
      </c>
      <c r="AU45" t="s">
        <v>6</v>
      </c>
      <c r="AV45">
        <v>1</v>
      </c>
      <c r="AW45">
        <v>2</v>
      </c>
      <c r="AX45">
        <v>16810222</v>
      </c>
      <c r="AY45">
        <v>1</v>
      </c>
      <c r="AZ45">
        <v>0</v>
      </c>
      <c r="BA45">
        <v>47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Y45*Source!I38</f>
        <v>5.1762100000000002</v>
      </c>
      <c r="CY45">
        <f>AD45</f>
        <v>52.34</v>
      </c>
      <c r="CZ45">
        <f>AH45</f>
        <v>7.8</v>
      </c>
      <c r="DA45">
        <f>AL45</f>
        <v>6.71</v>
      </c>
      <c r="DB45">
        <f t="shared" ref="DB45:DB61" si="7">ROUND(ROUND(AT45*CZ45,2),2)</f>
        <v>29.41</v>
      </c>
      <c r="DC45">
        <f t="shared" ref="DC45:DC61" si="8">ROUND(ROUND(AT45*AG45,2),2)</f>
        <v>0</v>
      </c>
    </row>
    <row r="46" spans="1:107" x14ac:dyDescent="0.2">
      <c r="A46">
        <f>ROW(Source!A39)</f>
        <v>39</v>
      </c>
      <c r="B46">
        <v>16808636</v>
      </c>
      <c r="C46">
        <v>16810225</v>
      </c>
      <c r="D46">
        <v>15431465</v>
      </c>
      <c r="E46">
        <v>1</v>
      </c>
      <c r="F46">
        <v>1</v>
      </c>
      <c r="G46">
        <v>1</v>
      </c>
      <c r="H46">
        <v>1</v>
      </c>
      <c r="I46" t="s">
        <v>784</v>
      </c>
      <c r="J46" t="s">
        <v>6</v>
      </c>
      <c r="K46" t="s">
        <v>785</v>
      </c>
      <c r="L46">
        <v>1191</v>
      </c>
      <c r="N46">
        <v>1013</v>
      </c>
      <c r="O46" t="s">
        <v>708</v>
      </c>
      <c r="P46" t="s">
        <v>708</v>
      </c>
      <c r="Q46">
        <v>1</v>
      </c>
      <c r="W46">
        <v>0</v>
      </c>
      <c r="X46">
        <v>152375061</v>
      </c>
      <c r="Y46">
        <v>74.3</v>
      </c>
      <c r="AA46">
        <v>0</v>
      </c>
      <c r="AB46">
        <v>0</v>
      </c>
      <c r="AC46">
        <v>0</v>
      </c>
      <c r="AD46">
        <v>52.81</v>
      </c>
      <c r="AE46">
        <v>0</v>
      </c>
      <c r="AF46">
        <v>0</v>
      </c>
      <c r="AG46">
        <v>0</v>
      </c>
      <c r="AH46">
        <v>7.87</v>
      </c>
      <c r="AI46">
        <v>1</v>
      </c>
      <c r="AJ46">
        <v>1</v>
      </c>
      <c r="AK46">
        <v>1</v>
      </c>
      <c r="AL46">
        <v>6.71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74.3</v>
      </c>
      <c r="AU46" t="s">
        <v>6</v>
      </c>
      <c r="AV46">
        <v>1</v>
      </c>
      <c r="AW46">
        <v>2</v>
      </c>
      <c r="AX46">
        <v>16810231</v>
      </c>
      <c r="AY46">
        <v>1</v>
      </c>
      <c r="AZ46">
        <v>0</v>
      </c>
      <c r="BA46">
        <v>49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Y46*Source!I39</f>
        <v>3.3434999999999997</v>
      </c>
      <c r="CY46">
        <f>AD46</f>
        <v>52.81</v>
      </c>
      <c r="CZ46">
        <f>AH46</f>
        <v>7.87</v>
      </c>
      <c r="DA46">
        <f>AL46</f>
        <v>6.71</v>
      </c>
      <c r="DB46">
        <f t="shared" si="7"/>
        <v>584.74</v>
      </c>
      <c r="DC46">
        <f t="shared" si="8"/>
        <v>0</v>
      </c>
    </row>
    <row r="47" spans="1:107" x14ac:dyDescent="0.2">
      <c r="A47">
        <f>ROW(Source!A39)</f>
        <v>39</v>
      </c>
      <c r="B47">
        <v>16808636</v>
      </c>
      <c r="C47">
        <v>16810225</v>
      </c>
      <c r="D47">
        <v>15430395</v>
      </c>
      <c r="E47">
        <v>1</v>
      </c>
      <c r="F47">
        <v>1</v>
      </c>
      <c r="G47">
        <v>1</v>
      </c>
      <c r="H47">
        <v>1</v>
      </c>
      <c r="I47" t="s">
        <v>709</v>
      </c>
      <c r="J47" t="s">
        <v>6</v>
      </c>
      <c r="K47" t="s">
        <v>710</v>
      </c>
      <c r="L47">
        <v>1191</v>
      </c>
      <c r="N47">
        <v>1013</v>
      </c>
      <c r="O47" t="s">
        <v>708</v>
      </c>
      <c r="P47" t="s">
        <v>708</v>
      </c>
      <c r="Q47">
        <v>1</v>
      </c>
      <c r="W47">
        <v>0</v>
      </c>
      <c r="X47">
        <v>-1417349443</v>
      </c>
      <c r="Y47">
        <v>0.35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6.71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6</v>
      </c>
      <c r="AT47">
        <v>0.35</v>
      </c>
      <c r="AU47" t="s">
        <v>6</v>
      </c>
      <c r="AV47">
        <v>2</v>
      </c>
      <c r="AW47">
        <v>2</v>
      </c>
      <c r="AX47">
        <v>16810232</v>
      </c>
      <c r="AY47">
        <v>1</v>
      </c>
      <c r="AZ47">
        <v>0</v>
      </c>
      <c r="BA47">
        <v>50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Y47*Source!I39</f>
        <v>1.575E-2</v>
      </c>
      <c r="CY47">
        <f>AD47</f>
        <v>0</v>
      </c>
      <c r="CZ47">
        <f>AH47</f>
        <v>0</v>
      </c>
      <c r="DA47">
        <f>AL47</f>
        <v>1</v>
      </c>
      <c r="DB47">
        <f t="shared" si="7"/>
        <v>0</v>
      </c>
      <c r="DC47">
        <f t="shared" si="8"/>
        <v>0</v>
      </c>
    </row>
    <row r="48" spans="1:107" x14ac:dyDescent="0.2">
      <c r="A48">
        <f>ROW(Source!A39)</f>
        <v>39</v>
      </c>
      <c r="B48">
        <v>16808636</v>
      </c>
      <c r="C48">
        <v>16810225</v>
      </c>
      <c r="D48">
        <v>15247974</v>
      </c>
      <c r="E48">
        <v>1</v>
      </c>
      <c r="F48">
        <v>1</v>
      </c>
      <c r="G48">
        <v>1</v>
      </c>
      <c r="H48">
        <v>2</v>
      </c>
      <c r="I48" t="s">
        <v>711</v>
      </c>
      <c r="J48" t="s">
        <v>712</v>
      </c>
      <c r="K48" t="s">
        <v>713</v>
      </c>
      <c r="L48">
        <v>1368</v>
      </c>
      <c r="N48">
        <v>1011</v>
      </c>
      <c r="O48" t="s">
        <v>714</v>
      </c>
      <c r="P48" t="s">
        <v>714</v>
      </c>
      <c r="Q48">
        <v>1</v>
      </c>
      <c r="W48">
        <v>0</v>
      </c>
      <c r="X48">
        <v>1188625873</v>
      </c>
      <c r="Y48">
        <v>0.35</v>
      </c>
      <c r="AA48">
        <v>0</v>
      </c>
      <c r="AB48">
        <v>209.75</v>
      </c>
      <c r="AC48">
        <v>13.5</v>
      </c>
      <c r="AD48">
        <v>0</v>
      </c>
      <c r="AE48">
        <v>0</v>
      </c>
      <c r="AF48">
        <v>31.26</v>
      </c>
      <c r="AG48">
        <v>13.5</v>
      </c>
      <c r="AH48">
        <v>0</v>
      </c>
      <c r="AI48">
        <v>1</v>
      </c>
      <c r="AJ48">
        <v>6.71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6</v>
      </c>
      <c r="AT48">
        <v>0.35</v>
      </c>
      <c r="AU48" t="s">
        <v>6</v>
      </c>
      <c r="AV48">
        <v>0</v>
      </c>
      <c r="AW48">
        <v>2</v>
      </c>
      <c r="AX48">
        <v>16810233</v>
      </c>
      <c r="AY48">
        <v>1</v>
      </c>
      <c r="AZ48">
        <v>0</v>
      </c>
      <c r="BA48">
        <v>51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Y48*Source!I39</f>
        <v>1.575E-2</v>
      </c>
      <c r="CY48">
        <f>AB48</f>
        <v>209.75</v>
      </c>
      <c r="CZ48">
        <f>AF48</f>
        <v>31.26</v>
      </c>
      <c r="DA48">
        <f>AJ48</f>
        <v>6.71</v>
      </c>
      <c r="DB48">
        <f t="shared" si="7"/>
        <v>10.94</v>
      </c>
      <c r="DC48">
        <f t="shared" si="8"/>
        <v>4.7300000000000004</v>
      </c>
    </row>
    <row r="49" spans="1:107" x14ac:dyDescent="0.2">
      <c r="A49">
        <f>ROW(Source!A39)</f>
        <v>39</v>
      </c>
      <c r="B49">
        <v>16808636</v>
      </c>
      <c r="C49">
        <v>16810225</v>
      </c>
      <c r="D49">
        <v>15249402</v>
      </c>
      <c r="E49">
        <v>1</v>
      </c>
      <c r="F49">
        <v>1</v>
      </c>
      <c r="G49">
        <v>1</v>
      </c>
      <c r="H49">
        <v>2</v>
      </c>
      <c r="I49" t="s">
        <v>786</v>
      </c>
      <c r="J49" t="s">
        <v>787</v>
      </c>
      <c r="K49" t="s">
        <v>788</v>
      </c>
      <c r="L49">
        <v>1368</v>
      </c>
      <c r="N49">
        <v>1011</v>
      </c>
      <c r="O49" t="s">
        <v>714</v>
      </c>
      <c r="P49" t="s">
        <v>714</v>
      </c>
      <c r="Q49">
        <v>1</v>
      </c>
      <c r="W49">
        <v>0</v>
      </c>
      <c r="X49">
        <v>-2111251057</v>
      </c>
      <c r="Y49">
        <v>1.64</v>
      </c>
      <c r="AA49">
        <v>0</v>
      </c>
      <c r="AB49">
        <v>218.08</v>
      </c>
      <c r="AC49">
        <v>0</v>
      </c>
      <c r="AD49">
        <v>0</v>
      </c>
      <c r="AE49">
        <v>0</v>
      </c>
      <c r="AF49">
        <v>32.5</v>
      </c>
      <c r="AG49">
        <v>0</v>
      </c>
      <c r="AH49">
        <v>0</v>
      </c>
      <c r="AI49">
        <v>1</v>
      </c>
      <c r="AJ49">
        <v>6.71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6</v>
      </c>
      <c r="AT49">
        <v>1.64</v>
      </c>
      <c r="AU49" t="s">
        <v>6</v>
      </c>
      <c r="AV49">
        <v>0</v>
      </c>
      <c r="AW49">
        <v>2</v>
      </c>
      <c r="AX49">
        <v>16810234</v>
      </c>
      <c r="AY49">
        <v>1</v>
      </c>
      <c r="AZ49">
        <v>0</v>
      </c>
      <c r="BA49">
        <v>52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Y49*Source!I39</f>
        <v>7.3799999999999991E-2</v>
      </c>
      <c r="CY49">
        <f>AB49</f>
        <v>218.08</v>
      </c>
      <c r="CZ49">
        <f>AF49</f>
        <v>32.5</v>
      </c>
      <c r="DA49">
        <f>AJ49</f>
        <v>6.71</v>
      </c>
      <c r="DB49">
        <f t="shared" si="7"/>
        <v>53.3</v>
      </c>
      <c r="DC49">
        <f t="shared" si="8"/>
        <v>0</v>
      </c>
    </row>
    <row r="50" spans="1:107" x14ac:dyDescent="0.2">
      <c r="A50">
        <f>ROW(Source!A39)</f>
        <v>39</v>
      </c>
      <c r="B50">
        <v>16808636</v>
      </c>
      <c r="C50">
        <v>16810225</v>
      </c>
      <c r="D50">
        <v>15249998</v>
      </c>
      <c r="E50">
        <v>1</v>
      </c>
      <c r="F50">
        <v>1</v>
      </c>
      <c r="G50">
        <v>1</v>
      </c>
      <c r="H50">
        <v>2</v>
      </c>
      <c r="I50" t="s">
        <v>789</v>
      </c>
      <c r="J50" t="s">
        <v>790</v>
      </c>
      <c r="K50" t="s">
        <v>791</v>
      </c>
      <c r="L50">
        <v>1368</v>
      </c>
      <c r="N50">
        <v>1011</v>
      </c>
      <c r="O50" t="s">
        <v>714</v>
      </c>
      <c r="P50" t="s">
        <v>714</v>
      </c>
      <c r="Q50">
        <v>1</v>
      </c>
      <c r="W50">
        <v>0</v>
      </c>
      <c r="X50">
        <v>1518765163</v>
      </c>
      <c r="Y50">
        <v>3.28</v>
      </c>
      <c r="AA50">
        <v>0</v>
      </c>
      <c r="AB50">
        <v>10.27</v>
      </c>
      <c r="AC50">
        <v>0</v>
      </c>
      <c r="AD50">
        <v>0</v>
      </c>
      <c r="AE50">
        <v>0</v>
      </c>
      <c r="AF50">
        <v>1.53</v>
      </c>
      <c r="AG50">
        <v>0</v>
      </c>
      <c r="AH50">
        <v>0</v>
      </c>
      <c r="AI50">
        <v>1</v>
      </c>
      <c r="AJ50">
        <v>6.71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6</v>
      </c>
      <c r="AT50">
        <v>3.28</v>
      </c>
      <c r="AU50" t="s">
        <v>6</v>
      </c>
      <c r="AV50">
        <v>0</v>
      </c>
      <c r="AW50">
        <v>2</v>
      </c>
      <c r="AX50">
        <v>16810235</v>
      </c>
      <c r="AY50">
        <v>1</v>
      </c>
      <c r="AZ50">
        <v>0</v>
      </c>
      <c r="BA50">
        <v>53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Y50*Source!I39</f>
        <v>0.14759999999999998</v>
      </c>
      <c r="CY50">
        <f>AB50</f>
        <v>10.27</v>
      </c>
      <c r="CZ50">
        <f>AF50</f>
        <v>1.53</v>
      </c>
      <c r="DA50">
        <f>AJ50</f>
        <v>6.71</v>
      </c>
      <c r="DB50">
        <f t="shared" si="7"/>
        <v>5.0199999999999996</v>
      </c>
      <c r="DC50">
        <f t="shared" si="8"/>
        <v>0</v>
      </c>
    </row>
    <row r="51" spans="1:107" x14ac:dyDescent="0.2">
      <c r="A51">
        <f>ROW(Source!A40)</f>
        <v>40</v>
      </c>
      <c r="B51">
        <v>16808636</v>
      </c>
      <c r="C51">
        <v>16810236</v>
      </c>
      <c r="D51">
        <v>15430767</v>
      </c>
      <c r="E51">
        <v>1</v>
      </c>
      <c r="F51">
        <v>1</v>
      </c>
      <c r="G51">
        <v>1</v>
      </c>
      <c r="H51">
        <v>1</v>
      </c>
      <c r="I51" t="s">
        <v>792</v>
      </c>
      <c r="J51" t="s">
        <v>6</v>
      </c>
      <c r="K51" t="s">
        <v>793</v>
      </c>
      <c r="L51">
        <v>1191</v>
      </c>
      <c r="N51">
        <v>1013</v>
      </c>
      <c r="O51" t="s">
        <v>708</v>
      </c>
      <c r="P51" t="s">
        <v>708</v>
      </c>
      <c r="Q51">
        <v>1</v>
      </c>
      <c r="W51">
        <v>0</v>
      </c>
      <c r="X51">
        <v>-400197608</v>
      </c>
      <c r="Y51">
        <v>36.71</v>
      </c>
      <c r="AA51">
        <v>0</v>
      </c>
      <c r="AB51">
        <v>0</v>
      </c>
      <c r="AC51">
        <v>0</v>
      </c>
      <c r="AD51">
        <v>57.24</v>
      </c>
      <c r="AE51">
        <v>0</v>
      </c>
      <c r="AF51">
        <v>0</v>
      </c>
      <c r="AG51">
        <v>0</v>
      </c>
      <c r="AH51">
        <v>8.5299999999999994</v>
      </c>
      <c r="AI51">
        <v>1</v>
      </c>
      <c r="AJ51">
        <v>1</v>
      </c>
      <c r="AK51">
        <v>1</v>
      </c>
      <c r="AL51">
        <v>6.71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6</v>
      </c>
      <c r="AT51">
        <v>36.71</v>
      </c>
      <c r="AU51" t="s">
        <v>6</v>
      </c>
      <c r="AV51">
        <v>1</v>
      </c>
      <c r="AW51">
        <v>2</v>
      </c>
      <c r="AX51">
        <v>16810241</v>
      </c>
      <c r="AY51">
        <v>1</v>
      </c>
      <c r="AZ51">
        <v>0</v>
      </c>
      <c r="BA51">
        <v>54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Y51*Source!I40</f>
        <v>1.1012999999999999</v>
      </c>
      <c r="CY51">
        <f>AD51</f>
        <v>57.24</v>
      </c>
      <c r="CZ51">
        <f>AH51</f>
        <v>8.5299999999999994</v>
      </c>
      <c r="DA51">
        <f>AL51</f>
        <v>6.71</v>
      </c>
      <c r="DB51">
        <f t="shared" si="7"/>
        <v>313.14</v>
      </c>
      <c r="DC51">
        <f t="shared" si="8"/>
        <v>0</v>
      </c>
    </row>
    <row r="52" spans="1:107" x14ac:dyDescent="0.2">
      <c r="A52">
        <f>ROW(Source!A40)</f>
        <v>40</v>
      </c>
      <c r="B52">
        <v>16808636</v>
      </c>
      <c r="C52">
        <v>16810236</v>
      </c>
      <c r="D52">
        <v>15430395</v>
      </c>
      <c r="E52">
        <v>1</v>
      </c>
      <c r="F52">
        <v>1</v>
      </c>
      <c r="G52">
        <v>1</v>
      </c>
      <c r="H52">
        <v>1</v>
      </c>
      <c r="I52" t="s">
        <v>709</v>
      </c>
      <c r="J52" t="s">
        <v>6</v>
      </c>
      <c r="K52" t="s">
        <v>710</v>
      </c>
      <c r="L52">
        <v>1191</v>
      </c>
      <c r="N52">
        <v>1013</v>
      </c>
      <c r="O52" t="s">
        <v>708</v>
      </c>
      <c r="P52" t="s">
        <v>708</v>
      </c>
      <c r="Q52">
        <v>1</v>
      </c>
      <c r="W52">
        <v>0</v>
      </c>
      <c r="X52">
        <v>-1417349443</v>
      </c>
      <c r="Y52">
        <v>7.0000000000000007E-2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6.71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6</v>
      </c>
      <c r="AT52">
        <v>7.0000000000000007E-2</v>
      </c>
      <c r="AU52" t="s">
        <v>6</v>
      </c>
      <c r="AV52">
        <v>2</v>
      </c>
      <c r="AW52">
        <v>2</v>
      </c>
      <c r="AX52">
        <v>16810242</v>
      </c>
      <c r="AY52">
        <v>1</v>
      </c>
      <c r="AZ52">
        <v>0</v>
      </c>
      <c r="BA52">
        <v>55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Y52*Source!I40</f>
        <v>2.1000000000000003E-3</v>
      </c>
      <c r="CY52">
        <f>AD52</f>
        <v>0</v>
      </c>
      <c r="CZ52">
        <f>AH52</f>
        <v>0</v>
      </c>
      <c r="DA52">
        <f>AL52</f>
        <v>1</v>
      </c>
      <c r="DB52">
        <f t="shared" si="7"/>
        <v>0</v>
      </c>
      <c r="DC52">
        <f t="shared" si="8"/>
        <v>0</v>
      </c>
    </row>
    <row r="53" spans="1:107" x14ac:dyDescent="0.2">
      <c r="A53">
        <f>ROW(Source!A40)</f>
        <v>40</v>
      </c>
      <c r="B53">
        <v>16808636</v>
      </c>
      <c r="C53">
        <v>16810236</v>
      </c>
      <c r="D53">
        <v>15247974</v>
      </c>
      <c r="E53">
        <v>1</v>
      </c>
      <c r="F53">
        <v>1</v>
      </c>
      <c r="G53">
        <v>1</v>
      </c>
      <c r="H53">
        <v>2</v>
      </c>
      <c r="I53" t="s">
        <v>711</v>
      </c>
      <c r="J53" t="s">
        <v>712</v>
      </c>
      <c r="K53" t="s">
        <v>713</v>
      </c>
      <c r="L53">
        <v>1368</v>
      </c>
      <c r="N53">
        <v>1011</v>
      </c>
      <c r="O53" t="s">
        <v>714</v>
      </c>
      <c r="P53" t="s">
        <v>714</v>
      </c>
      <c r="Q53">
        <v>1</v>
      </c>
      <c r="W53">
        <v>0</v>
      </c>
      <c r="X53">
        <v>1188625873</v>
      </c>
      <c r="Y53">
        <v>7.0000000000000007E-2</v>
      </c>
      <c r="AA53">
        <v>0</v>
      </c>
      <c r="AB53">
        <v>209.75</v>
      </c>
      <c r="AC53">
        <v>13.5</v>
      </c>
      <c r="AD53">
        <v>0</v>
      </c>
      <c r="AE53">
        <v>0</v>
      </c>
      <c r="AF53">
        <v>31.26</v>
      </c>
      <c r="AG53">
        <v>13.5</v>
      </c>
      <c r="AH53">
        <v>0</v>
      </c>
      <c r="AI53">
        <v>1</v>
      </c>
      <c r="AJ53">
        <v>6.71</v>
      </c>
      <c r="AK53">
        <v>1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6</v>
      </c>
      <c r="AT53">
        <v>7.0000000000000007E-2</v>
      </c>
      <c r="AU53" t="s">
        <v>6</v>
      </c>
      <c r="AV53">
        <v>0</v>
      </c>
      <c r="AW53">
        <v>2</v>
      </c>
      <c r="AX53">
        <v>16810243</v>
      </c>
      <c r="AY53">
        <v>1</v>
      </c>
      <c r="AZ53">
        <v>0</v>
      </c>
      <c r="BA53">
        <v>56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Y53*Source!I40</f>
        <v>2.1000000000000003E-3</v>
      </c>
      <c r="CY53">
        <f>AB53</f>
        <v>209.75</v>
      </c>
      <c r="CZ53">
        <f>AF53</f>
        <v>31.26</v>
      </c>
      <c r="DA53">
        <f>AJ53</f>
        <v>6.71</v>
      </c>
      <c r="DB53">
        <f t="shared" si="7"/>
        <v>2.19</v>
      </c>
      <c r="DC53">
        <f t="shared" si="8"/>
        <v>0.95</v>
      </c>
    </row>
    <row r="54" spans="1:107" x14ac:dyDescent="0.2">
      <c r="A54">
        <f>ROW(Source!A40)</f>
        <v>40</v>
      </c>
      <c r="B54">
        <v>16808636</v>
      </c>
      <c r="C54">
        <v>16810236</v>
      </c>
      <c r="D54">
        <v>15164566</v>
      </c>
      <c r="E54">
        <v>17</v>
      </c>
      <c r="F54">
        <v>1</v>
      </c>
      <c r="G54">
        <v>1</v>
      </c>
      <c r="H54">
        <v>3</v>
      </c>
      <c r="I54" t="s">
        <v>102</v>
      </c>
      <c r="J54" t="s">
        <v>6</v>
      </c>
      <c r="K54" t="s">
        <v>103</v>
      </c>
      <c r="L54">
        <v>1348</v>
      </c>
      <c r="N54">
        <v>1009</v>
      </c>
      <c r="O54" t="s">
        <v>104</v>
      </c>
      <c r="P54" t="s">
        <v>104</v>
      </c>
      <c r="Q54">
        <v>1000</v>
      </c>
      <c r="W54">
        <v>0</v>
      </c>
      <c r="X54">
        <v>-66286256</v>
      </c>
      <c r="Y54">
        <v>0.22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6.71</v>
      </c>
      <c r="AJ54">
        <v>1</v>
      </c>
      <c r="AK54">
        <v>1</v>
      </c>
      <c r="AL54">
        <v>1</v>
      </c>
      <c r="AN54">
        <v>0</v>
      </c>
      <c r="AO54">
        <v>0</v>
      </c>
      <c r="AP54">
        <v>0</v>
      </c>
      <c r="AQ54">
        <v>0</v>
      </c>
      <c r="AR54">
        <v>0</v>
      </c>
      <c r="AS54" t="s">
        <v>6</v>
      </c>
      <c r="AT54">
        <v>0.22</v>
      </c>
      <c r="AU54" t="s">
        <v>6</v>
      </c>
      <c r="AV54">
        <v>0</v>
      </c>
      <c r="AW54">
        <v>2</v>
      </c>
      <c r="AX54">
        <v>16810244</v>
      </c>
      <c r="AY54">
        <v>1</v>
      </c>
      <c r="AZ54">
        <v>0</v>
      </c>
      <c r="BA54">
        <v>57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Y54*Source!I40</f>
        <v>6.6E-3</v>
      </c>
      <c r="CY54">
        <f>AA54</f>
        <v>0</v>
      </c>
      <c r="CZ54">
        <f>AE54</f>
        <v>0</v>
      </c>
      <c r="DA54">
        <f>AI54</f>
        <v>6.71</v>
      </c>
      <c r="DB54">
        <f t="shared" si="7"/>
        <v>0</v>
      </c>
      <c r="DC54">
        <f t="shared" si="8"/>
        <v>0</v>
      </c>
    </row>
    <row r="55" spans="1:107" x14ac:dyDescent="0.2">
      <c r="A55">
        <f>ROW(Source!A42)</f>
        <v>42</v>
      </c>
      <c r="B55">
        <v>16808636</v>
      </c>
      <c r="C55">
        <v>16810246</v>
      </c>
      <c r="D55">
        <v>15430767</v>
      </c>
      <c r="E55">
        <v>1</v>
      </c>
      <c r="F55">
        <v>1</v>
      </c>
      <c r="G55">
        <v>1</v>
      </c>
      <c r="H55">
        <v>1</v>
      </c>
      <c r="I55" t="s">
        <v>792</v>
      </c>
      <c r="J55" t="s">
        <v>6</v>
      </c>
      <c r="K55" t="s">
        <v>793</v>
      </c>
      <c r="L55">
        <v>1191</v>
      </c>
      <c r="N55">
        <v>1013</v>
      </c>
      <c r="O55" t="s">
        <v>708</v>
      </c>
      <c r="P55" t="s">
        <v>708</v>
      </c>
      <c r="Q55">
        <v>1</v>
      </c>
      <c r="W55">
        <v>0</v>
      </c>
      <c r="X55">
        <v>-400197608</v>
      </c>
      <c r="Y55">
        <v>51.3</v>
      </c>
      <c r="AA55">
        <v>0</v>
      </c>
      <c r="AB55">
        <v>0</v>
      </c>
      <c r="AC55">
        <v>0</v>
      </c>
      <c r="AD55">
        <v>57.24</v>
      </c>
      <c r="AE55">
        <v>0</v>
      </c>
      <c r="AF55">
        <v>0</v>
      </c>
      <c r="AG55">
        <v>0</v>
      </c>
      <c r="AH55">
        <v>8.5299999999999994</v>
      </c>
      <c r="AI55">
        <v>1</v>
      </c>
      <c r="AJ55">
        <v>1</v>
      </c>
      <c r="AK55">
        <v>1</v>
      </c>
      <c r="AL55">
        <v>6.71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6</v>
      </c>
      <c r="AT55">
        <v>51.3</v>
      </c>
      <c r="AU55" t="s">
        <v>6</v>
      </c>
      <c r="AV55">
        <v>1</v>
      </c>
      <c r="AW55">
        <v>2</v>
      </c>
      <c r="AX55">
        <v>16810251</v>
      </c>
      <c r="AY55">
        <v>1</v>
      </c>
      <c r="AZ55">
        <v>0</v>
      </c>
      <c r="BA55">
        <v>58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Y55*Source!I42</f>
        <v>1.5389999999999999</v>
      </c>
      <c r="CY55">
        <f>AD55</f>
        <v>57.24</v>
      </c>
      <c r="CZ55">
        <f>AH55</f>
        <v>8.5299999999999994</v>
      </c>
      <c r="DA55">
        <f>AL55</f>
        <v>6.71</v>
      </c>
      <c r="DB55">
        <f t="shared" si="7"/>
        <v>437.59</v>
      </c>
      <c r="DC55">
        <f t="shared" si="8"/>
        <v>0</v>
      </c>
    </row>
    <row r="56" spans="1:107" x14ac:dyDescent="0.2">
      <c r="A56">
        <f>ROW(Source!A42)</f>
        <v>42</v>
      </c>
      <c r="B56">
        <v>16808636</v>
      </c>
      <c r="C56">
        <v>16810246</v>
      </c>
      <c r="D56">
        <v>15430395</v>
      </c>
      <c r="E56">
        <v>1</v>
      </c>
      <c r="F56">
        <v>1</v>
      </c>
      <c r="G56">
        <v>1</v>
      </c>
      <c r="H56">
        <v>1</v>
      </c>
      <c r="I56" t="s">
        <v>709</v>
      </c>
      <c r="J56" t="s">
        <v>6</v>
      </c>
      <c r="K56" t="s">
        <v>710</v>
      </c>
      <c r="L56">
        <v>1191</v>
      </c>
      <c r="N56">
        <v>1013</v>
      </c>
      <c r="O56" t="s">
        <v>708</v>
      </c>
      <c r="P56" t="s">
        <v>708</v>
      </c>
      <c r="Q56">
        <v>1</v>
      </c>
      <c r="W56">
        <v>0</v>
      </c>
      <c r="X56">
        <v>-1417349443</v>
      </c>
      <c r="Y56">
        <v>0.26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6.71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6</v>
      </c>
      <c r="AT56">
        <v>0.26</v>
      </c>
      <c r="AU56" t="s">
        <v>6</v>
      </c>
      <c r="AV56">
        <v>2</v>
      </c>
      <c r="AW56">
        <v>2</v>
      </c>
      <c r="AX56">
        <v>16810252</v>
      </c>
      <c r="AY56">
        <v>1</v>
      </c>
      <c r="AZ56">
        <v>0</v>
      </c>
      <c r="BA56">
        <v>59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Y56*Source!I42</f>
        <v>7.7999999999999996E-3</v>
      </c>
      <c r="CY56">
        <f>AD56</f>
        <v>0</v>
      </c>
      <c r="CZ56">
        <f>AH56</f>
        <v>0</v>
      </c>
      <c r="DA56">
        <f>AL56</f>
        <v>1</v>
      </c>
      <c r="DB56">
        <f t="shared" si="7"/>
        <v>0</v>
      </c>
      <c r="DC56">
        <f t="shared" si="8"/>
        <v>0</v>
      </c>
    </row>
    <row r="57" spans="1:107" x14ac:dyDescent="0.2">
      <c r="A57">
        <f>ROW(Source!A42)</f>
        <v>42</v>
      </c>
      <c r="B57">
        <v>16808636</v>
      </c>
      <c r="C57">
        <v>16810246</v>
      </c>
      <c r="D57">
        <v>15247974</v>
      </c>
      <c r="E57">
        <v>1</v>
      </c>
      <c r="F57">
        <v>1</v>
      </c>
      <c r="G57">
        <v>1</v>
      </c>
      <c r="H57">
        <v>2</v>
      </c>
      <c r="I57" t="s">
        <v>711</v>
      </c>
      <c r="J57" t="s">
        <v>712</v>
      </c>
      <c r="K57" t="s">
        <v>713</v>
      </c>
      <c r="L57">
        <v>1368</v>
      </c>
      <c r="N57">
        <v>1011</v>
      </c>
      <c r="O57" t="s">
        <v>714</v>
      </c>
      <c r="P57" t="s">
        <v>714</v>
      </c>
      <c r="Q57">
        <v>1</v>
      </c>
      <c r="W57">
        <v>0</v>
      </c>
      <c r="X57">
        <v>1188625873</v>
      </c>
      <c r="Y57">
        <v>0.26</v>
      </c>
      <c r="AA57">
        <v>0</v>
      </c>
      <c r="AB57">
        <v>209.75</v>
      </c>
      <c r="AC57">
        <v>13.5</v>
      </c>
      <c r="AD57">
        <v>0</v>
      </c>
      <c r="AE57">
        <v>0</v>
      </c>
      <c r="AF57">
        <v>31.26</v>
      </c>
      <c r="AG57">
        <v>13.5</v>
      </c>
      <c r="AH57">
        <v>0</v>
      </c>
      <c r="AI57">
        <v>1</v>
      </c>
      <c r="AJ57">
        <v>6.71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6</v>
      </c>
      <c r="AT57">
        <v>0.26</v>
      </c>
      <c r="AU57" t="s">
        <v>6</v>
      </c>
      <c r="AV57">
        <v>0</v>
      </c>
      <c r="AW57">
        <v>2</v>
      </c>
      <c r="AX57">
        <v>16810253</v>
      </c>
      <c r="AY57">
        <v>1</v>
      </c>
      <c r="AZ57">
        <v>0</v>
      </c>
      <c r="BA57">
        <v>60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Y57*Source!I42</f>
        <v>7.7999999999999996E-3</v>
      </c>
      <c r="CY57">
        <f>AB57</f>
        <v>209.75</v>
      </c>
      <c r="CZ57">
        <f>AF57</f>
        <v>31.26</v>
      </c>
      <c r="DA57">
        <f>AJ57</f>
        <v>6.71</v>
      </c>
      <c r="DB57">
        <f t="shared" si="7"/>
        <v>8.1300000000000008</v>
      </c>
      <c r="DC57">
        <f t="shared" si="8"/>
        <v>3.51</v>
      </c>
    </row>
    <row r="58" spans="1:107" x14ac:dyDescent="0.2">
      <c r="A58">
        <f>ROW(Source!A43)</f>
        <v>43</v>
      </c>
      <c r="B58">
        <v>16808636</v>
      </c>
      <c r="C58">
        <v>16810256</v>
      </c>
      <c r="D58">
        <v>15432356</v>
      </c>
      <c r="E58">
        <v>1</v>
      </c>
      <c r="F58">
        <v>1</v>
      </c>
      <c r="G58">
        <v>1</v>
      </c>
      <c r="H58">
        <v>1</v>
      </c>
      <c r="I58" t="s">
        <v>794</v>
      </c>
      <c r="J58" t="s">
        <v>6</v>
      </c>
      <c r="K58" t="s">
        <v>795</v>
      </c>
      <c r="L58">
        <v>1191</v>
      </c>
      <c r="N58">
        <v>1013</v>
      </c>
      <c r="O58" t="s">
        <v>708</v>
      </c>
      <c r="P58" t="s">
        <v>708</v>
      </c>
      <c r="Q58">
        <v>1</v>
      </c>
      <c r="W58">
        <v>0</v>
      </c>
      <c r="X58">
        <v>1850719656</v>
      </c>
      <c r="Y58">
        <v>34.659999999999997</v>
      </c>
      <c r="AA58">
        <v>0</v>
      </c>
      <c r="AB58">
        <v>0</v>
      </c>
      <c r="AC58">
        <v>0</v>
      </c>
      <c r="AD58">
        <v>55.76</v>
      </c>
      <c r="AE58">
        <v>0</v>
      </c>
      <c r="AF58">
        <v>0</v>
      </c>
      <c r="AG58">
        <v>0</v>
      </c>
      <c r="AH58">
        <v>8.31</v>
      </c>
      <c r="AI58">
        <v>1</v>
      </c>
      <c r="AJ58">
        <v>1</v>
      </c>
      <c r="AK58">
        <v>1</v>
      </c>
      <c r="AL58">
        <v>6.71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6</v>
      </c>
      <c r="AT58">
        <v>34.659999999999997</v>
      </c>
      <c r="AU58" t="s">
        <v>6</v>
      </c>
      <c r="AV58">
        <v>1</v>
      </c>
      <c r="AW58">
        <v>2</v>
      </c>
      <c r="AX58">
        <v>16810264</v>
      </c>
      <c r="AY58">
        <v>1</v>
      </c>
      <c r="AZ58">
        <v>0</v>
      </c>
      <c r="BA58">
        <v>62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Y58*Source!I43</f>
        <v>2.0795999999999997</v>
      </c>
      <c r="CY58">
        <f>AD58</f>
        <v>55.76</v>
      </c>
      <c r="CZ58">
        <f>AH58</f>
        <v>8.31</v>
      </c>
      <c r="DA58">
        <f>AL58</f>
        <v>6.71</v>
      </c>
      <c r="DB58">
        <f t="shared" si="7"/>
        <v>288.02</v>
      </c>
      <c r="DC58">
        <f t="shared" si="8"/>
        <v>0</v>
      </c>
    </row>
    <row r="59" spans="1:107" x14ac:dyDescent="0.2">
      <c r="A59">
        <f>ROW(Source!A43)</f>
        <v>43</v>
      </c>
      <c r="B59">
        <v>16808636</v>
      </c>
      <c r="C59">
        <v>16810256</v>
      </c>
      <c r="D59">
        <v>15430395</v>
      </c>
      <c r="E59">
        <v>1</v>
      </c>
      <c r="F59">
        <v>1</v>
      </c>
      <c r="G59">
        <v>1</v>
      </c>
      <c r="H59">
        <v>1</v>
      </c>
      <c r="I59" t="s">
        <v>709</v>
      </c>
      <c r="J59" t="s">
        <v>6</v>
      </c>
      <c r="K59" t="s">
        <v>710</v>
      </c>
      <c r="L59">
        <v>1191</v>
      </c>
      <c r="N59">
        <v>1013</v>
      </c>
      <c r="O59" t="s">
        <v>708</v>
      </c>
      <c r="P59" t="s">
        <v>708</v>
      </c>
      <c r="Q59">
        <v>1</v>
      </c>
      <c r="W59">
        <v>0</v>
      </c>
      <c r="X59">
        <v>-1417349443</v>
      </c>
      <c r="Y59">
        <v>0.1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6.71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6</v>
      </c>
      <c r="AT59">
        <v>0.1</v>
      </c>
      <c r="AU59" t="s">
        <v>6</v>
      </c>
      <c r="AV59">
        <v>2</v>
      </c>
      <c r="AW59">
        <v>2</v>
      </c>
      <c r="AX59">
        <v>16810265</v>
      </c>
      <c r="AY59">
        <v>1</v>
      </c>
      <c r="AZ59">
        <v>0</v>
      </c>
      <c r="BA59">
        <v>63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Y59*Source!I43</f>
        <v>6.0000000000000001E-3</v>
      </c>
      <c r="CY59">
        <f>AD59</f>
        <v>0</v>
      </c>
      <c r="CZ59">
        <f>AH59</f>
        <v>0</v>
      </c>
      <c r="DA59">
        <f>AL59</f>
        <v>1</v>
      </c>
      <c r="DB59">
        <f t="shared" si="7"/>
        <v>0</v>
      </c>
      <c r="DC59">
        <f t="shared" si="8"/>
        <v>0</v>
      </c>
    </row>
    <row r="60" spans="1:107" x14ac:dyDescent="0.2">
      <c r="A60">
        <f>ROW(Source!A43)</f>
        <v>43</v>
      </c>
      <c r="B60">
        <v>16808636</v>
      </c>
      <c r="C60">
        <v>16810256</v>
      </c>
      <c r="D60">
        <v>15247974</v>
      </c>
      <c r="E60">
        <v>1</v>
      </c>
      <c r="F60">
        <v>1</v>
      </c>
      <c r="G60">
        <v>1</v>
      </c>
      <c r="H60">
        <v>2</v>
      </c>
      <c r="I60" t="s">
        <v>711</v>
      </c>
      <c r="J60" t="s">
        <v>712</v>
      </c>
      <c r="K60" t="s">
        <v>713</v>
      </c>
      <c r="L60">
        <v>1368</v>
      </c>
      <c r="N60">
        <v>1011</v>
      </c>
      <c r="O60" t="s">
        <v>714</v>
      </c>
      <c r="P60" t="s">
        <v>714</v>
      </c>
      <c r="Q60">
        <v>1</v>
      </c>
      <c r="W60">
        <v>0</v>
      </c>
      <c r="X60">
        <v>1188625873</v>
      </c>
      <c r="Y60">
        <v>0.1</v>
      </c>
      <c r="AA60">
        <v>0</v>
      </c>
      <c r="AB60">
        <v>209.75</v>
      </c>
      <c r="AC60">
        <v>13.5</v>
      </c>
      <c r="AD60">
        <v>0</v>
      </c>
      <c r="AE60">
        <v>0</v>
      </c>
      <c r="AF60">
        <v>31.26</v>
      </c>
      <c r="AG60">
        <v>13.5</v>
      </c>
      <c r="AH60">
        <v>0</v>
      </c>
      <c r="AI60">
        <v>1</v>
      </c>
      <c r="AJ60">
        <v>6.71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6</v>
      </c>
      <c r="AT60">
        <v>0.1</v>
      </c>
      <c r="AU60" t="s">
        <v>6</v>
      </c>
      <c r="AV60">
        <v>0</v>
      </c>
      <c r="AW60">
        <v>2</v>
      </c>
      <c r="AX60">
        <v>16810266</v>
      </c>
      <c r="AY60">
        <v>1</v>
      </c>
      <c r="AZ60">
        <v>0</v>
      </c>
      <c r="BA60">
        <v>64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Y60*Source!I43</f>
        <v>6.0000000000000001E-3</v>
      </c>
      <c r="CY60">
        <f>AB60</f>
        <v>209.75</v>
      </c>
      <c r="CZ60">
        <f>AF60</f>
        <v>31.26</v>
      </c>
      <c r="DA60">
        <f>AJ60</f>
        <v>6.71</v>
      </c>
      <c r="DB60">
        <f t="shared" si="7"/>
        <v>3.13</v>
      </c>
      <c r="DC60">
        <f t="shared" si="8"/>
        <v>1.35</v>
      </c>
    </row>
    <row r="61" spans="1:107" x14ac:dyDescent="0.2">
      <c r="A61">
        <f>ROW(Source!A43)</f>
        <v>43</v>
      </c>
      <c r="B61">
        <v>16808636</v>
      </c>
      <c r="C61">
        <v>16810256</v>
      </c>
      <c r="D61">
        <v>15249308</v>
      </c>
      <c r="E61">
        <v>1</v>
      </c>
      <c r="F61">
        <v>1</v>
      </c>
      <c r="G61">
        <v>1</v>
      </c>
      <c r="H61">
        <v>2</v>
      </c>
      <c r="I61" t="s">
        <v>796</v>
      </c>
      <c r="J61" t="s">
        <v>797</v>
      </c>
      <c r="K61" t="s">
        <v>798</v>
      </c>
      <c r="L61">
        <v>1368</v>
      </c>
      <c r="N61">
        <v>1011</v>
      </c>
      <c r="O61" t="s">
        <v>714</v>
      </c>
      <c r="P61" t="s">
        <v>714</v>
      </c>
      <c r="Q61">
        <v>1</v>
      </c>
      <c r="W61">
        <v>0</v>
      </c>
      <c r="X61">
        <v>-624296059</v>
      </c>
      <c r="Y61">
        <v>3.3</v>
      </c>
      <c r="AA61">
        <v>0</v>
      </c>
      <c r="AB61">
        <v>8.0500000000000007</v>
      </c>
      <c r="AC61">
        <v>0</v>
      </c>
      <c r="AD61">
        <v>0</v>
      </c>
      <c r="AE61">
        <v>0</v>
      </c>
      <c r="AF61">
        <v>1.2</v>
      </c>
      <c r="AG61">
        <v>0</v>
      </c>
      <c r="AH61">
        <v>0</v>
      </c>
      <c r="AI61">
        <v>1</v>
      </c>
      <c r="AJ61">
        <v>6.71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6</v>
      </c>
      <c r="AT61">
        <v>3.3</v>
      </c>
      <c r="AU61" t="s">
        <v>6</v>
      </c>
      <c r="AV61">
        <v>0</v>
      </c>
      <c r="AW61">
        <v>2</v>
      </c>
      <c r="AX61">
        <v>16810267</v>
      </c>
      <c r="AY61">
        <v>1</v>
      </c>
      <c r="AZ61">
        <v>0</v>
      </c>
      <c r="BA61">
        <v>65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Y61*Source!I43</f>
        <v>0.19799999999999998</v>
      </c>
      <c r="CY61">
        <f>AB61</f>
        <v>8.0500000000000007</v>
      </c>
      <c r="CZ61">
        <f>AF61</f>
        <v>1.2</v>
      </c>
      <c r="DA61">
        <f>AJ61</f>
        <v>6.71</v>
      </c>
      <c r="DB61">
        <f t="shared" si="7"/>
        <v>3.96</v>
      </c>
      <c r="DC61">
        <f t="shared" si="8"/>
        <v>0</v>
      </c>
    </row>
    <row r="62" spans="1:107" x14ac:dyDescent="0.2">
      <c r="A62">
        <f>ROW(Source!A43)</f>
        <v>43</v>
      </c>
      <c r="B62">
        <v>16808636</v>
      </c>
      <c r="C62">
        <v>16810256</v>
      </c>
      <c r="D62">
        <v>15165634</v>
      </c>
      <c r="E62">
        <v>1</v>
      </c>
      <c r="F62">
        <v>1</v>
      </c>
      <c r="G62">
        <v>1</v>
      </c>
      <c r="H62">
        <v>3</v>
      </c>
      <c r="I62" t="s">
        <v>799</v>
      </c>
      <c r="J62" t="s">
        <v>800</v>
      </c>
      <c r="K62" t="s">
        <v>801</v>
      </c>
      <c r="L62">
        <v>1339</v>
      </c>
      <c r="N62">
        <v>1007</v>
      </c>
      <c r="O62" t="s">
        <v>254</v>
      </c>
      <c r="P62" t="s">
        <v>254</v>
      </c>
      <c r="Q62">
        <v>1</v>
      </c>
      <c r="W62">
        <v>0</v>
      </c>
      <c r="X62">
        <v>1706747518</v>
      </c>
      <c r="Y62">
        <v>0</v>
      </c>
      <c r="AA62">
        <v>258.39999999999998</v>
      </c>
      <c r="AB62">
        <v>0</v>
      </c>
      <c r="AC62">
        <v>0</v>
      </c>
      <c r="AD62">
        <v>0</v>
      </c>
      <c r="AE62">
        <v>38.51</v>
      </c>
      <c r="AF62">
        <v>0</v>
      </c>
      <c r="AG62">
        <v>0</v>
      </c>
      <c r="AH62">
        <v>0</v>
      </c>
      <c r="AI62">
        <v>6.71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6</v>
      </c>
      <c r="AT62">
        <v>0.43</v>
      </c>
      <c r="AU62" t="s">
        <v>113</v>
      </c>
      <c r="AV62">
        <v>0</v>
      </c>
      <c r="AW62">
        <v>2</v>
      </c>
      <c r="AX62">
        <v>16810268</v>
      </c>
      <c r="AY62">
        <v>1</v>
      </c>
      <c r="AZ62">
        <v>0</v>
      </c>
      <c r="BA62">
        <v>66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Y62*Source!I43</f>
        <v>0</v>
      </c>
      <c r="CY62">
        <f>AA62</f>
        <v>258.39999999999998</v>
      </c>
      <c r="CZ62">
        <f>AE62</f>
        <v>38.51</v>
      </c>
      <c r="DA62">
        <f>AI62</f>
        <v>6.71</v>
      </c>
      <c r="DB62">
        <f>ROUND((ROUND(AT62*CZ62,2)*0),2)</f>
        <v>0</v>
      </c>
      <c r="DC62">
        <f>ROUND((ROUND(AT62*AG62,2)*0),2)</f>
        <v>0</v>
      </c>
    </row>
    <row r="63" spans="1:107" x14ac:dyDescent="0.2">
      <c r="A63">
        <f>ROW(Source!A43)</f>
        <v>43</v>
      </c>
      <c r="B63">
        <v>16808636</v>
      </c>
      <c r="C63">
        <v>16810256</v>
      </c>
      <c r="D63">
        <v>15165653</v>
      </c>
      <c r="E63">
        <v>1</v>
      </c>
      <c r="F63">
        <v>1</v>
      </c>
      <c r="G63">
        <v>1</v>
      </c>
      <c r="H63">
        <v>3</v>
      </c>
      <c r="I63" t="s">
        <v>802</v>
      </c>
      <c r="J63" t="s">
        <v>803</v>
      </c>
      <c r="K63" t="s">
        <v>804</v>
      </c>
      <c r="L63">
        <v>1339</v>
      </c>
      <c r="N63">
        <v>1007</v>
      </c>
      <c r="O63" t="s">
        <v>254</v>
      </c>
      <c r="P63" t="s">
        <v>254</v>
      </c>
      <c r="Q63">
        <v>1</v>
      </c>
      <c r="W63">
        <v>0</v>
      </c>
      <c r="X63">
        <v>1262771840</v>
      </c>
      <c r="Y63">
        <v>0</v>
      </c>
      <c r="AA63">
        <v>41.74</v>
      </c>
      <c r="AB63">
        <v>0</v>
      </c>
      <c r="AC63">
        <v>0</v>
      </c>
      <c r="AD63">
        <v>0</v>
      </c>
      <c r="AE63">
        <v>6.22</v>
      </c>
      <c r="AF63">
        <v>0</v>
      </c>
      <c r="AG63">
        <v>0</v>
      </c>
      <c r="AH63">
        <v>0</v>
      </c>
      <c r="AI63">
        <v>6.71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6</v>
      </c>
      <c r="AT63">
        <v>2.74</v>
      </c>
      <c r="AU63" t="s">
        <v>113</v>
      </c>
      <c r="AV63">
        <v>0</v>
      </c>
      <c r="AW63">
        <v>2</v>
      </c>
      <c r="AX63">
        <v>16810269</v>
      </c>
      <c r="AY63">
        <v>1</v>
      </c>
      <c r="AZ63">
        <v>0</v>
      </c>
      <c r="BA63">
        <v>67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Y63*Source!I43</f>
        <v>0</v>
      </c>
      <c r="CY63">
        <f>AA63</f>
        <v>41.74</v>
      </c>
      <c r="CZ63">
        <f>AE63</f>
        <v>6.22</v>
      </c>
      <c r="DA63">
        <f>AI63</f>
        <v>6.71</v>
      </c>
      <c r="DB63">
        <f>ROUND((ROUND(AT63*CZ63,2)*0),2)</f>
        <v>0</v>
      </c>
      <c r="DC63">
        <f>ROUND((ROUND(AT63*AG63,2)*0),2)</f>
        <v>0</v>
      </c>
    </row>
    <row r="64" spans="1:107" x14ac:dyDescent="0.2">
      <c r="A64">
        <f>ROW(Source!A44)</f>
        <v>44</v>
      </c>
      <c r="B64">
        <v>16808636</v>
      </c>
      <c r="C64">
        <v>16810272</v>
      </c>
      <c r="D64">
        <v>15430767</v>
      </c>
      <c r="E64">
        <v>1</v>
      </c>
      <c r="F64">
        <v>1</v>
      </c>
      <c r="G64">
        <v>1</v>
      </c>
      <c r="H64">
        <v>1</v>
      </c>
      <c r="I64" t="s">
        <v>792</v>
      </c>
      <c r="J64" t="s">
        <v>6</v>
      </c>
      <c r="K64" t="s">
        <v>793</v>
      </c>
      <c r="L64">
        <v>1191</v>
      </c>
      <c r="N64">
        <v>1013</v>
      </c>
      <c r="O64" t="s">
        <v>708</v>
      </c>
      <c r="P64" t="s">
        <v>708</v>
      </c>
      <c r="Q64">
        <v>1</v>
      </c>
      <c r="W64">
        <v>0</v>
      </c>
      <c r="X64">
        <v>-400197608</v>
      </c>
      <c r="Y64">
        <v>69.87</v>
      </c>
      <c r="AA64">
        <v>0</v>
      </c>
      <c r="AB64">
        <v>0</v>
      </c>
      <c r="AC64">
        <v>0</v>
      </c>
      <c r="AD64">
        <v>57.24</v>
      </c>
      <c r="AE64">
        <v>0</v>
      </c>
      <c r="AF64">
        <v>0</v>
      </c>
      <c r="AG64">
        <v>0</v>
      </c>
      <c r="AH64">
        <v>8.5299999999999994</v>
      </c>
      <c r="AI64">
        <v>1</v>
      </c>
      <c r="AJ64">
        <v>1</v>
      </c>
      <c r="AK64">
        <v>1</v>
      </c>
      <c r="AL64">
        <v>6.71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6</v>
      </c>
      <c r="AT64">
        <v>69.87</v>
      </c>
      <c r="AU64" t="s">
        <v>6</v>
      </c>
      <c r="AV64">
        <v>1</v>
      </c>
      <c r="AW64">
        <v>2</v>
      </c>
      <c r="AX64">
        <v>16810277</v>
      </c>
      <c r="AY64">
        <v>1</v>
      </c>
      <c r="AZ64">
        <v>0</v>
      </c>
      <c r="BA64">
        <v>69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Y64*Source!I44</f>
        <v>11.388810000000001</v>
      </c>
      <c r="CY64">
        <f>AD64</f>
        <v>57.24</v>
      </c>
      <c r="CZ64">
        <f>AH64</f>
        <v>8.5299999999999994</v>
      </c>
      <c r="DA64">
        <f>AL64</f>
        <v>6.71</v>
      </c>
      <c r="DB64">
        <f>ROUND(ROUND(AT64*CZ64,2),2)</f>
        <v>595.99</v>
      </c>
      <c r="DC64">
        <f>ROUND(ROUND(AT64*AG64,2),2)</f>
        <v>0</v>
      </c>
    </row>
    <row r="65" spans="1:107" x14ac:dyDescent="0.2">
      <c r="A65">
        <f>ROW(Source!A44)</f>
        <v>44</v>
      </c>
      <c r="B65">
        <v>16808636</v>
      </c>
      <c r="C65">
        <v>16810272</v>
      </c>
      <c r="D65">
        <v>15430395</v>
      </c>
      <c r="E65">
        <v>1</v>
      </c>
      <c r="F65">
        <v>1</v>
      </c>
      <c r="G65">
        <v>1</v>
      </c>
      <c r="H65">
        <v>1</v>
      </c>
      <c r="I65" t="s">
        <v>709</v>
      </c>
      <c r="J65" t="s">
        <v>6</v>
      </c>
      <c r="K65" t="s">
        <v>710</v>
      </c>
      <c r="L65">
        <v>1191</v>
      </c>
      <c r="N65">
        <v>1013</v>
      </c>
      <c r="O65" t="s">
        <v>708</v>
      </c>
      <c r="P65" t="s">
        <v>708</v>
      </c>
      <c r="Q65">
        <v>1</v>
      </c>
      <c r="W65">
        <v>0</v>
      </c>
      <c r="X65">
        <v>-1417349443</v>
      </c>
      <c r="Y65">
        <v>1.44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6.71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6</v>
      </c>
      <c r="AT65">
        <v>1.44</v>
      </c>
      <c r="AU65" t="s">
        <v>6</v>
      </c>
      <c r="AV65">
        <v>2</v>
      </c>
      <c r="AW65">
        <v>2</v>
      </c>
      <c r="AX65">
        <v>16810278</v>
      </c>
      <c r="AY65">
        <v>1</v>
      </c>
      <c r="AZ65">
        <v>0</v>
      </c>
      <c r="BA65">
        <v>70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Y65*Source!I44</f>
        <v>0.23472000000000001</v>
      </c>
      <c r="CY65">
        <f>AD65</f>
        <v>0</v>
      </c>
      <c r="CZ65">
        <f>AH65</f>
        <v>0</v>
      </c>
      <c r="DA65">
        <f>AL65</f>
        <v>1</v>
      </c>
      <c r="DB65">
        <f>ROUND(ROUND(AT65*CZ65,2),2)</f>
        <v>0</v>
      </c>
      <c r="DC65">
        <f>ROUND(ROUND(AT65*AG65,2),2)</f>
        <v>0</v>
      </c>
    </row>
    <row r="66" spans="1:107" x14ac:dyDescent="0.2">
      <c r="A66">
        <f>ROW(Source!A44)</f>
        <v>44</v>
      </c>
      <c r="B66">
        <v>16808636</v>
      </c>
      <c r="C66">
        <v>16810272</v>
      </c>
      <c r="D66">
        <v>15247974</v>
      </c>
      <c r="E66">
        <v>1</v>
      </c>
      <c r="F66">
        <v>1</v>
      </c>
      <c r="G66">
        <v>1</v>
      </c>
      <c r="H66">
        <v>2</v>
      </c>
      <c r="I66" t="s">
        <v>711</v>
      </c>
      <c r="J66" t="s">
        <v>712</v>
      </c>
      <c r="K66" t="s">
        <v>713</v>
      </c>
      <c r="L66">
        <v>1368</v>
      </c>
      <c r="N66">
        <v>1011</v>
      </c>
      <c r="O66" t="s">
        <v>714</v>
      </c>
      <c r="P66" t="s">
        <v>714</v>
      </c>
      <c r="Q66">
        <v>1</v>
      </c>
      <c r="W66">
        <v>0</v>
      </c>
      <c r="X66">
        <v>1188625873</v>
      </c>
      <c r="Y66">
        <v>1.44</v>
      </c>
      <c r="AA66">
        <v>0</v>
      </c>
      <c r="AB66">
        <v>209.75</v>
      </c>
      <c r="AC66">
        <v>13.5</v>
      </c>
      <c r="AD66">
        <v>0</v>
      </c>
      <c r="AE66">
        <v>0</v>
      </c>
      <c r="AF66">
        <v>31.26</v>
      </c>
      <c r="AG66">
        <v>13.5</v>
      </c>
      <c r="AH66">
        <v>0</v>
      </c>
      <c r="AI66">
        <v>1</v>
      </c>
      <c r="AJ66">
        <v>6.71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1.44</v>
      </c>
      <c r="AU66" t="s">
        <v>6</v>
      </c>
      <c r="AV66">
        <v>0</v>
      </c>
      <c r="AW66">
        <v>2</v>
      </c>
      <c r="AX66">
        <v>16810279</v>
      </c>
      <c r="AY66">
        <v>1</v>
      </c>
      <c r="AZ66">
        <v>0</v>
      </c>
      <c r="BA66">
        <v>71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Y66*Source!I44</f>
        <v>0.23472000000000001</v>
      </c>
      <c r="CY66">
        <f>AB66</f>
        <v>209.75</v>
      </c>
      <c r="CZ66">
        <f>AF66</f>
        <v>31.26</v>
      </c>
      <c r="DA66">
        <f>AJ66</f>
        <v>6.71</v>
      </c>
      <c r="DB66">
        <f>ROUND(ROUND(AT66*CZ66,2),2)</f>
        <v>45.01</v>
      </c>
      <c r="DC66">
        <f>ROUND(ROUND(AT66*AG66,2),2)</f>
        <v>19.440000000000001</v>
      </c>
    </row>
    <row r="67" spans="1:107" x14ac:dyDescent="0.2">
      <c r="A67">
        <f>ROW(Source!A79)</f>
        <v>79</v>
      </c>
      <c r="B67">
        <v>16808636</v>
      </c>
      <c r="C67">
        <v>16810282</v>
      </c>
      <c r="D67">
        <v>15438286</v>
      </c>
      <c r="E67">
        <v>1</v>
      </c>
      <c r="F67">
        <v>1</v>
      </c>
      <c r="G67">
        <v>1</v>
      </c>
      <c r="H67">
        <v>1</v>
      </c>
      <c r="I67" t="s">
        <v>805</v>
      </c>
      <c r="J67" t="s">
        <v>6</v>
      </c>
      <c r="K67" t="s">
        <v>806</v>
      </c>
      <c r="L67">
        <v>1191</v>
      </c>
      <c r="N67">
        <v>1013</v>
      </c>
      <c r="O67" t="s">
        <v>708</v>
      </c>
      <c r="P67" t="s">
        <v>708</v>
      </c>
      <c r="Q67">
        <v>1</v>
      </c>
      <c r="W67">
        <v>0</v>
      </c>
      <c r="X67">
        <v>-1027537862</v>
      </c>
      <c r="Y67">
        <v>123.55139999999999</v>
      </c>
      <c r="AA67">
        <v>0</v>
      </c>
      <c r="AB67">
        <v>0</v>
      </c>
      <c r="AC67">
        <v>0</v>
      </c>
      <c r="AD67">
        <v>61.6</v>
      </c>
      <c r="AE67">
        <v>0</v>
      </c>
      <c r="AF67">
        <v>0</v>
      </c>
      <c r="AG67">
        <v>0</v>
      </c>
      <c r="AH67">
        <v>9.18</v>
      </c>
      <c r="AI67">
        <v>1</v>
      </c>
      <c r="AJ67">
        <v>1</v>
      </c>
      <c r="AK67">
        <v>1</v>
      </c>
      <c r="AL67">
        <v>6.71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6</v>
      </c>
      <c r="AT67">
        <v>89.53</v>
      </c>
      <c r="AU67" t="s">
        <v>175</v>
      </c>
      <c r="AV67">
        <v>1</v>
      </c>
      <c r="AW67">
        <v>2</v>
      </c>
      <c r="AX67">
        <v>16810295</v>
      </c>
      <c r="AY67">
        <v>1</v>
      </c>
      <c r="AZ67">
        <v>0</v>
      </c>
      <c r="BA67">
        <v>73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Y67*Source!I79</f>
        <v>11.675607299999999</v>
      </c>
      <c r="CY67">
        <f>AD67</f>
        <v>61.6</v>
      </c>
      <c r="CZ67">
        <f>AH67</f>
        <v>9.18</v>
      </c>
      <c r="DA67">
        <f>AL67</f>
        <v>6.71</v>
      </c>
      <c r="DB67">
        <f>ROUND(((ROUND(AT67*CZ67,2)*1.15)*1.2),2)</f>
        <v>1134.21</v>
      </c>
      <c r="DC67">
        <f>ROUND(((ROUND(AT67*AG67,2)*1.15)*1.2),2)</f>
        <v>0</v>
      </c>
    </row>
    <row r="68" spans="1:107" x14ac:dyDescent="0.2">
      <c r="A68">
        <f>ROW(Source!A79)</f>
        <v>79</v>
      </c>
      <c r="B68">
        <v>16808636</v>
      </c>
      <c r="C68">
        <v>16810282</v>
      </c>
      <c r="D68">
        <v>15430395</v>
      </c>
      <c r="E68">
        <v>1</v>
      </c>
      <c r="F68">
        <v>1</v>
      </c>
      <c r="G68">
        <v>1</v>
      </c>
      <c r="H68">
        <v>1</v>
      </c>
      <c r="I68" t="s">
        <v>709</v>
      </c>
      <c r="J68" t="s">
        <v>6</v>
      </c>
      <c r="K68" t="s">
        <v>710</v>
      </c>
      <c r="L68">
        <v>1191</v>
      </c>
      <c r="N68">
        <v>1013</v>
      </c>
      <c r="O68" t="s">
        <v>708</v>
      </c>
      <c r="P68" t="s">
        <v>708</v>
      </c>
      <c r="Q68">
        <v>1</v>
      </c>
      <c r="W68">
        <v>0</v>
      </c>
      <c r="X68">
        <v>-1417349443</v>
      </c>
      <c r="Y68">
        <v>11.68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1</v>
      </c>
      <c r="AJ68">
        <v>1</v>
      </c>
      <c r="AK68">
        <v>6.71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6</v>
      </c>
      <c r="AT68">
        <v>11.68</v>
      </c>
      <c r="AU68" t="s">
        <v>6</v>
      </c>
      <c r="AV68">
        <v>2</v>
      </c>
      <c r="AW68">
        <v>2</v>
      </c>
      <c r="AX68">
        <v>16810296</v>
      </c>
      <c r="AY68">
        <v>1</v>
      </c>
      <c r="AZ68">
        <v>2048</v>
      </c>
      <c r="BA68">
        <v>74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Y68*Source!I79</f>
        <v>1.1037600000000001</v>
      </c>
      <c r="CY68">
        <f>AD68</f>
        <v>0</v>
      </c>
      <c r="CZ68">
        <f>AH68</f>
        <v>0</v>
      </c>
      <c r="DA68">
        <f>AL68</f>
        <v>1</v>
      </c>
      <c r="DB68">
        <f>ROUND(ROUND(AT68*CZ68,2),2)</f>
        <v>0</v>
      </c>
      <c r="DC68">
        <f>ROUND(ROUND(AT68*AG68,2),2)</f>
        <v>0</v>
      </c>
    </row>
    <row r="69" spans="1:107" x14ac:dyDescent="0.2">
      <c r="A69">
        <f>ROW(Source!A79)</f>
        <v>79</v>
      </c>
      <c r="B69">
        <v>16808636</v>
      </c>
      <c r="C69">
        <v>16810282</v>
      </c>
      <c r="D69">
        <v>15247578</v>
      </c>
      <c r="E69">
        <v>1</v>
      </c>
      <c r="F69">
        <v>1</v>
      </c>
      <c r="G69">
        <v>1</v>
      </c>
      <c r="H69">
        <v>2</v>
      </c>
      <c r="I69" t="s">
        <v>807</v>
      </c>
      <c r="J69" t="s">
        <v>808</v>
      </c>
      <c r="K69" t="s">
        <v>809</v>
      </c>
      <c r="L69">
        <v>1368</v>
      </c>
      <c r="N69">
        <v>1011</v>
      </c>
      <c r="O69" t="s">
        <v>714</v>
      </c>
      <c r="P69" t="s">
        <v>714</v>
      </c>
      <c r="Q69">
        <v>1</v>
      </c>
      <c r="W69">
        <v>0</v>
      </c>
      <c r="X69">
        <v>-1460065968</v>
      </c>
      <c r="Y69">
        <v>14.534999999999998</v>
      </c>
      <c r="AA69">
        <v>0</v>
      </c>
      <c r="AB69">
        <v>579.74</v>
      </c>
      <c r="AC69">
        <v>13.5</v>
      </c>
      <c r="AD69">
        <v>0</v>
      </c>
      <c r="AE69">
        <v>0</v>
      </c>
      <c r="AF69">
        <v>86.4</v>
      </c>
      <c r="AG69">
        <v>13.5</v>
      </c>
      <c r="AH69">
        <v>0</v>
      </c>
      <c r="AI69">
        <v>1</v>
      </c>
      <c r="AJ69">
        <v>6.71</v>
      </c>
      <c r="AK69">
        <v>1</v>
      </c>
      <c r="AL69">
        <v>1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6</v>
      </c>
      <c r="AT69">
        <v>9.69</v>
      </c>
      <c r="AU69" t="s">
        <v>174</v>
      </c>
      <c r="AV69">
        <v>0</v>
      </c>
      <c r="AW69">
        <v>2</v>
      </c>
      <c r="AX69">
        <v>16810297</v>
      </c>
      <c r="AY69">
        <v>1</v>
      </c>
      <c r="AZ69">
        <v>0</v>
      </c>
      <c r="BA69">
        <v>75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Y69*Source!I79</f>
        <v>1.3735574999999998</v>
      </c>
      <c r="CY69">
        <f>AB69</f>
        <v>579.74</v>
      </c>
      <c r="CZ69">
        <f>AF69</f>
        <v>86.4</v>
      </c>
      <c r="DA69">
        <f>AJ69</f>
        <v>6.71</v>
      </c>
      <c r="DB69">
        <f>ROUND(((ROUND(AT69*CZ69,2)*1.25)*1.2),2)</f>
        <v>1255.83</v>
      </c>
      <c r="DC69">
        <f>ROUND(((ROUND(AT69*AG69,2)*1.25)*1.2),2)</f>
        <v>196.23</v>
      </c>
    </row>
    <row r="70" spans="1:107" x14ac:dyDescent="0.2">
      <c r="A70">
        <f>ROW(Source!A79)</f>
        <v>79</v>
      </c>
      <c r="B70">
        <v>16808636</v>
      </c>
      <c r="C70">
        <v>16810282</v>
      </c>
      <c r="D70">
        <v>15249073</v>
      </c>
      <c r="E70">
        <v>1</v>
      </c>
      <c r="F70">
        <v>1</v>
      </c>
      <c r="G70">
        <v>1</v>
      </c>
      <c r="H70">
        <v>2</v>
      </c>
      <c r="I70" t="s">
        <v>724</v>
      </c>
      <c r="J70" t="s">
        <v>725</v>
      </c>
      <c r="K70" t="s">
        <v>726</v>
      </c>
      <c r="L70">
        <v>1368</v>
      </c>
      <c r="N70">
        <v>1011</v>
      </c>
      <c r="O70" t="s">
        <v>714</v>
      </c>
      <c r="P70" t="s">
        <v>714</v>
      </c>
      <c r="Q70">
        <v>1</v>
      </c>
      <c r="W70">
        <v>0</v>
      </c>
      <c r="X70">
        <v>1372534845</v>
      </c>
      <c r="Y70">
        <v>2.9849999999999999</v>
      </c>
      <c r="AA70">
        <v>0</v>
      </c>
      <c r="AB70">
        <v>440.91</v>
      </c>
      <c r="AC70">
        <v>11.6</v>
      </c>
      <c r="AD70">
        <v>0</v>
      </c>
      <c r="AE70">
        <v>0</v>
      </c>
      <c r="AF70">
        <v>65.709999999999994</v>
      </c>
      <c r="AG70">
        <v>11.6</v>
      </c>
      <c r="AH70">
        <v>0</v>
      </c>
      <c r="AI70">
        <v>1</v>
      </c>
      <c r="AJ70">
        <v>6.71</v>
      </c>
      <c r="AK70">
        <v>1</v>
      </c>
      <c r="AL70">
        <v>1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6</v>
      </c>
      <c r="AT70">
        <v>1.99</v>
      </c>
      <c r="AU70" t="s">
        <v>174</v>
      </c>
      <c r="AV70">
        <v>0</v>
      </c>
      <c r="AW70">
        <v>2</v>
      </c>
      <c r="AX70">
        <v>16810298</v>
      </c>
      <c r="AY70">
        <v>1</v>
      </c>
      <c r="AZ70">
        <v>0</v>
      </c>
      <c r="BA70">
        <v>76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Y70*Source!I79</f>
        <v>0.28208250000000001</v>
      </c>
      <c r="CY70">
        <f>AB70</f>
        <v>440.91</v>
      </c>
      <c r="CZ70">
        <f>AF70</f>
        <v>65.709999999999994</v>
      </c>
      <c r="DA70">
        <f>AJ70</f>
        <v>6.71</v>
      </c>
      <c r="DB70">
        <f>ROUND(((ROUND(AT70*CZ70,2)*1.25)*1.2),2)</f>
        <v>196.14</v>
      </c>
      <c r="DC70">
        <f>ROUND(((ROUND(AT70*AG70,2)*1.25)*1.2),2)</f>
        <v>34.619999999999997</v>
      </c>
    </row>
    <row r="71" spans="1:107" x14ac:dyDescent="0.2">
      <c r="A71">
        <f>ROW(Source!A79)</f>
        <v>79</v>
      </c>
      <c r="B71">
        <v>16808636</v>
      </c>
      <c r="C71">
        <v>16810282</v>
      </c>
      <c r="D71">
        <v>15167340</v>
      </c>
      <c r="E71">
        <v>1</v>
      </c>
      <c r="F71">
        <v>1</v>
      </c>
      <c r="G71">
        <v>1</v>
      </c>
      <c r="H71">
        <v>3</v>
      </c>
      <c r="I71" t="s">
        <v>184</v>
      </c>
      <c r="J71" t="s">
        <v>186</v>
      </c>
      <c r="K71" t="s">
        <v>185</v>
      </c>
      <c r="L71">
        <v>1035</v>
      </c>
      <c r="N71">
        <v>1013</v>
      </c>
      <c r="O71" t="s">
        <v>182</v>
      </c>
      <c r="P71" t="s">
        <v>182</v>
      </c>
      <c r="Q71">
        <v>1</v>
      </c>
      <c r="W71">
        <v>0</v>
      </c>
      <c r="X71">
        <v>-347778458</v>
      </c>
      <c r="Y71">
        <v>52.910052999999998</v>
      </c>
      <c r="AA71">
        <v>635.29999999999995</v>
      </c>
      <c r="AB71">
        <v>0</v>
      </c>
      <c r="AC71">
        <v>0</v>
      </c>
      <c r="AD71">
        <v>0</v>
      </c>
      <c r="AE71">
        <v>94.68</v>
      </c>
      <c r="AF71">
        <v>0</v>
      </c>
      <c r="AG71">
        <v>0</v>
      </c>
      <c r="AH71">
        <v>0</v>
      </c>
      <c r="AI71">
        <v>6.71</v>
      </c>
      <c r="AJ71">
        <v>1</v>
      </c>
      <c r="AK71">
        <v>1</v>
      </c>
      <c r="AL71">
        <v>1</v>
      </c>
      <c r="AN71">
        <v>0</v>
      </c>
      <c r="AO71">
        <v>0</v>
      </c>
      <c r="AP71">
        <v>1</v>
      </c>
      <c r="AQ71">
        <v>0</v>
      </c>
      <c r="AR71">
        <v>0</v>
      </c>
      <c r="AS71" t="s">
        <v>6</v>
      </c>
      <c r="AT71">
        <v>52.910052999999998</v>
      </c>
      <c r="AU71" t="s">
        <v>6</v>
      </c>
      <c r="AV71">
        <v>0</v>
      </c>
      <c r="AW71">
        <v>1</v>
      </c>
      <c r="AX71">
        <v>-1</v>
      </c>
      <c r="AY71">
        <v>0</v>
      </c>
      <c r="AZ71">
        <v>0</v>
      </c>
      <c r="BA71" t="s">
        <v>6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Y71*Source!I79</f>
        <v>5.0000000084999998</v>
      </c>
      <c r="CY71">
        <f t="shared" ref="CY71:CY78" si="9">AA71</f>
        <v>635.29999999999995</v>
      </c>
      <c r="CZ71">
        <f t="shared" ref="CZ71:CZ78" si="10">AE71</f>
        <v>94.68</v>
      </c>
      <c r="DA71">
        <f t="shared" ref="DA71:DA78" si="11">AI71</f>
        <v>6.71</v>
      </c>
      <c r="DB71">
        <f t="shared" ref="DB71:DB78" si="12">ROUND(ROUND(AT71*CZ71,2),2)</f>
        <v>5009.5200000000004</v>
      </c>
      <c r="DC71">
        <f t="shared" ref="DC71:DC78" si="13">ROUND(ROUND(AT71*AG71,2),2)</f>
        <v>0</v>
      </c>
    </row>
    <row r="72" spans="1:107" x14ac:dyDescent="0.2">
      <c r="A72">
        <f>ROW(Source!A79)</f>
        <v>79</v>
      </c>
      <c r="B72">
        <v>16808636</v>
      </c>
      <c r="C72">
        <v>16810282</v>
      </c>
      <c r="D72">
        <v>15162381</v>
      </c>
      <c r="E72">
        <v>17</v>
      </c>
      <c r="F72">
        <v>1</v>
      </c>
      <c r="G72">
        <v>1</v>
      </c>
      <c r="H72">
        <v>3</v>
      </c>
      <c r="I72" t="s">
        <v>180</v>
      </c>
      <c r="J72" t="s">
        <v>6</v>
      </c>
      <c r="K72" t="s">
        <v>181</v>
      </c>
      <c r="L72">
        <v>1035</v>
      </c>
      <c r="N72">
        <v>1013</v>
      </c>
      <c r="O72" t="s">
        <v>182</v>
      </c>
      <c r="P72" t="s">
        <v>182</v>
      </c>
      <c r="Q72">
        <v>1</v>
      </c>
      <c r="W72">
        <v>0</v>
      </c>
      <c r="X72">
        <v>296028110</v>
      </c>
      <c r="Y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6.71</v>
      </c>
      <c r="AJ72">
        <v>1</v>
      </c>
      <c r="AK72">
        <v>1</v>
      </c>
      <c r="AL72">
        <v>1</v>
      </c>
      <c r="AN72">
        <v>1</v>
      </c>
      <c r="AO72">
        <v>0</v>
      </c>
      <c r="AP72">
        <v>1</v>
      </c>
      <c r="AQ72">
        <v>0</v>
      </c>
      <c r="AR72">
        <v>0</v>
      </c>
      <c r="AS72" t="s">
        <v>6</v>
      </c>
      <c r="AT72">
        <v>0</v>
      </c>
      <c r="AU72" t="s">
        <v>6</v>
      </c>
      <c r="AV72">
        <v>0</v>
      </c>
      <c r="AW72">
        <v>2</v>
      </c>
      <c r="AX72">
        <v>16810299</v>
      </c>
      <c r="AY72">
        <v>1</v>
      </c>
      <c r="AZ72">
        <v>0</v>
      </c>
      <c r="BA72">
        <v>77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Y72*Source!I79</f>
        <v>0</v>
      </c>
      <c r="CY72">
        <f t="shared" si="9"/>
        <v>0</v>
      </c>
      <c r="CZ72">
        <f t="shared" si="10"/>
        <v>0</v>
      </c>
      <c r="DA72">
        <f t="shared" si="11"/>
        <v>6.71</v>
      </c>
      <c r="DB72">
        <f t="shared" si="12"/>
        <v>0</v>
      </c>
      <c r="DC72">
        <f t="shared" si="13"/>
        <v>0</v>
      </c>
    </row>
    <row r="73" spans="1:107" x14ac:dyDescent="0.2">
      <c r="A73">
        <f>ROW(Source!A79)</f>
        <v>79</v>
      </c>
      <c r="B73">
        <v>16808636</v>
      </c>
      <c r="C73">
        <v>16810282</v>
      </c>
      <c r="D73">
        <v>15170039</v>
      </c>
      <c r="E73">
        <v>1</v>
      </c>
      <c r="F73">
        <v>1</v>
      </c>
      <c r="G73">
        <v>1</v>
      </c>
      <c r="H73">
        <v>3</v>
      </c>
      <c r="I73" t="s">
        <v>810</v>
      </c>
      <c r="J73" t="s">
        <v>811</v>
      </c>
      <c r="K73" t="s">
        <v>812</v>
      </c>
      <c r="L73">
        <v>1348</v>
      </c>
      <c r="N73">
        <v>1009</v>
      </c>
      <c r="O73" t="s">
        <v>104</v>
      </c>
      <c r="P73" t="s">
        <v>104</v>
      </c>
      <c r="Q73">
        <v>1000</v>
      </c>
      <c r="W73">
        <v>0</v>
      </c>
      <c r="X73">
        <v>1174701286</v>
      </c>
      <c r="Y73">
        <v>4.13E-3</v>
      </c>
      <c r="AA73">
        <v>80372.38</v>
      </c>
      <c r="AB73">
        <v>0</v>
      </c>
      <c r="AC73">
        <v>0</v>
      </c>
      <c r="AD73">
        <v>0</v>
      </c>
      <c r="AE73">
        <v>11978</v>
      </c>
      <c r="AF73">
        <v>0</v>
      </c>
      <c r="AG73">
        <v>0</v>
      </c>
      <c r="AH73">
        <v>0</v>
      </c>
      <c r="AI73">
        <v>6.71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6</v>
      </c>
      <c r="AT73">
        <v>4.13E-3</v>
      </c>
      <c r="AU73" t="s">
        <v>6</v>
      </c>
      <c r="AV73">
        <v>0</v>
      </c>
      <c r="AW73">
        <v>2</v>
      </c>
      <c r="AX73">
        <v>16810300</v>
      </c>
      <c r="AY73">
        <v>1</v>
      </c>
      <c r="AZ73">
        <v>0</v>
      </c>
      <c r="BA73">
        <v>78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Y73*Source!I79</f>
        <v>3.9028499999999998E-4</v>
      </c>
      <c r="CY73">
        <f t="shared" si="9"/>
        <v>80372.38</v>
      </c>
      <c r="CZ73">
        <f t="shared" si="10"/>
        <v>11978</v>
      </c>
      <c r="DA73">
        <f t="shared" si="11"/>
        <v>6.71</v>
      </c>
      <c r="DB73">
        <f t="shared" si="12"/>
        <v>49.47</v>
      </c>
      <c r="DC73">
        <f t="shared" si="13"/>
        <v>0</v>
      </c>
    </row>
    <row r="74" spans="1:107" x14ac:dyDescent="0.2">
      <c r="A74">
        <f>ROW(Source!A79)</f>
        <v>79</v>
      </c>
      <c r="B74">
        <v>16808636</v>
      </c>
      <c r="C74">
        <v>16810282</v>
      </c>
      <c r="D74">
        <v>15172818</v>
      </c>
      <c r="E74">
        <v>1</v>
      </c>
      <c r="F74">
        <v>1</v>
      </c>
      <c r="G74">
        <v>1</v>
      </c>
      <c r="H74">
        <v>3</v>
      </c>
      <c r="I74" t="s">
        <v>813</v>
      </c>
      <c r="J74" t="s">
        <v>814</v>
      </c>
      <c r="K74" t="s">
        <v>815</v>
      </c>
      <c r="L74">
        <v>1339</v>
      </c>
      <c r="N74">
        <v>1007</v>
      </c>
      <c r="O74" t="s">
        <v>254</v>
      </c>
      <c r="P74" t="s">
        <v>254</v>
      </c>
      <c r="Q74">
        <v>1</v>
      </c>
      <c r="W74">
        <v>0</v>
      </c>
      <c r="X74">
        <v>-2072708995</v>
      </c>
      <c r="Y74">
        <v>0.105</v>
      </c>
      <c r="AA74">
        <v>3073.18</v>
      </c>
      <c r="AB74">
        <v>0</v>
      </c>
      <c r="AC74">
        <v>0</v>
      </c>
      <c r="AD74">
        <v>0</v>
      </c>
      <c r="AE74">
        <v>458</v>
      </c>
      <c r="AF74">
        <v>0</v>
      </c>
      <c r="AG74">
        <v>0</v>
      </c>
      <c r="AH74">
        <v>0</v>
      </c>
      <c r="AI74">
        <v>6.71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6</v>
      </c>
      <c r="AT74">
        <v>0.105</v>
      </c>
      <c r="AU74" t="s">
        <v>6</v>
      </c>
      <c r="AV74">
        <v>0</v>
      </c>
      <c r="AW74">
        <v>2</v>
      </c>
      <c r="AX74">
        <v>16810301</v>
      </c>
      <c r="AY74">
        <v>1</v>
      </c>
      <c r="AZ74">
        <v>0</v>
      </c>
      <c r="BA74">
        <v>79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Y74*Source!I79</f>
        <v>9.922499999999999E-3</v>
      </c>
      <c r="CY74">
        <f t="shared" si="9"/>
        <v>3073.18</v>
      </c>
      <c r="CZ74">
        <f t="shared" si="10"/>
        <v>458</v>
      </c>
      <c r="DA74">
        <f t="shared" si="11"/>
        <v>6.71</v>
      </c>
      <c r="DB74">
        <f t="shared" si="12"/>
        <v>48.09</v>
      </c>
      <c r="DC74">
        <f t="shared" si="13"/>
        <v>0</v>
      </c>
    </row>
    <row r="75" spans="1:107" x14ac:dyDescent="0.2">
      <c r="A75">
        <f>ROW(Source!A79)</f>
        <v>79</v>
      </c>
      <c r="B75">
        <v>16808636</v>
      </c>
      <c r="C75">
        <v>16810282</v>
      </c>
      <c r="D75">
        <v>15196008</v>
      </c>
      <c r="E75">
        <v>1</v>
      </c>
      <c r="F75">
        <v>1</v>
      </c>
      <c r="G75">
        <v>1</v>
      </c>
      <c r="H75">
        <v>3</v>
      </c>
      <c r="I75" t="s">
        <v>816</v>
      </c>
      <c r="J75" t="s">
        <v>817</v>
      </c>
      <c r="K75" t="s">
        <v>818</v>
      </c>
      <c r="L75">
        <v>1339</v>
      </c>
      <c r="N75">
        <v>1007</v>
      </c>
      <c r="O75" t="s">
        <v>254</v>
      </c>
      <c r="P75" t="s">
        <v>254</v>
      </c>
      <c r="Q75">
        <v>1</v>
      </c>
      <c r="W75">
        <v>0</v>
      </c>
      <c r="X75">
        <v>2024089152</v>
      </c>
      <c r="Y75">
        <v>0.08</v>
      </c>
      <c r="AA75">
        <v>7381</v>
      </c>
      <c r="AB75">
        <v>0</v>
      </c>
      <c r="AC75">
        <v>0</v>
      </c>
      <c r="AD75">
        <v>0</v>
      </c>
      <c r="AE75">
        <v>1100</v>
      </c>
      <c r="AF75">
        <v>0</v>
      </c>
      <c r="AG75">
        <v>0</v>
      </c>
      <c r="AH75">
        <v>0</v>
      </c>
      <c r="AI75">
        <v>6.71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6</v>
      </c>
      <c r="AT75">
        <v>0.08</v>
      </c>
      <c r="AU75" t="s">
        <v>6</v>
      </c>
      <c r="AV75">
        <v>0</v>
      </c>
      <c r="AW75">
        <v>2</v>
      </c>
      <c r="AX75">
        <v>16810303</v>
      </c>
      <c r="AY75">
        <v>1</v>
      </c>
      <c r="AZ75">
        <v>0</v>
      </c>
      <c r="BA75">
        <v>81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Y75*Source!I79</f>
        <v>7.5599999999999999E-3</v>
      </c>
      <c r="CY75">
        <f t="shared" si="9"/>
        <v>7381</v>
      </c>
      <c r="CZ75">
        <f t="shared" si="10"/>
        <v>1100</v>
      </c>
      <c r="DA75">
        <f t="shared" si="11"/>
        <v>6.71</v>
      </c>
      <c r="DB75">
        <f t="shared" si="12"/>
        <v>88</v>
      </c>
      <c r="DC75">
        <f t="shared" si="13"/>
        <v>0</v>
      </c>
    </row>
    <row r="76" spans="1:107" x14ac:dyDescent="0.2">
      <c r="A76">
        <f>ROW(Source!A79)</f>
        <v>79</v>
      </c>
      <c r="B76">
        <v>16808636</v>
      </c>
      <c r="C76">
        <v>16810282</v>
      </c>
      <c r="D76">
        <v>15162477</v>
      </c>
      <c r="E76">
        <v>17</v>
      </c>
      <c r="F76">
        <v>1</v>
      </c>
      <c r="G76">
        <v>1</v>
      </c>
      <c r="H76">
        <v>3</v>
      </c>
      <c r="I76" t="s">
        <v>188</v>
      </c>
      <c r="J76" t="s">
        <v>6</v>
      </c>
      <c r="K76" t="s">
        <v>189</v>
      </c>
      <c r="L76">
        <v>1327</v>
      </c>
      <c r="N76">
        <v>1005</v>
      </c>
      <c r="O76" t="s">
        <v>190</v>
      </c>
      <c r="P76" t="s">
        <v>190</v>
      </c>
      <c r="Q76">
        <v>1</v>
      </c>
      <c r="W76">
        <v>0</v>
      </c>
      <c r="X76">
        <v>-732808487</v>
      </c>
      <c r="Y76">
        <v>100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6.71</v>
      </c>
      <c r="AJ76">
        <v>1</v>
      </c>
      <c r="AK76">
        <v>1</v>
      </c>
      <c r="AL76">
        <v>1</v>
      </c>
      <c r="AN76">
        <v>0</v>
      </c>
      <c r="AO76">
        <v>0</v>
      </c>
      <c r="AP76">
        <v>1</v>
      </c>
      <c r="AQ76">
        <v>0</v>
      </c>
      <c r="AR76">
        <v>0</v>
      </c>
      <c r="AS76" t="s">
        <v>6</v>
      </c>
      <c r="AT76">
        <v>100</v>
      </c>
      <c r="AU76" t="s">
        <v>6</v>
      </c>
      <c r="AV76">
        <v>0</v>
      </c>
      <c r="AW76">
        <v>2</v>
      </c>
      <c r="AX76">
        <v>16810304</v>
      </c>
      <c r="AY76">
        <v>1</v>
      </c>
      <c r="AZ76">
        <v>0</v>
      </c>
      <c r="BA76">
        <v>82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Y76*Source!I79</f>
        <v>9.4499999999999993</v>
      </c>
      <c r="CY76">
        <f t="shared" si="9"/>
        <v>0</v>
      </c>
      <c r="CZ76">
        <f t="shared" si="10"/>
        <v>0</v>
      </c>
      <c r="DA76">
        <f t="shared" si="11"/>
        <v>6.71</v>
      </c>
      <c r="DB76">
        <f t="shared" si="12"/>
        <v>0</v>
      </c>
      <c r="DC76">
        <f t="shared" si="13"/>
        <v>0</v>
      </c>
    </row>
    <row r="77" spans="1:107" x14ac:dyDescent="0.2">
      <c r="A77">
        <f>ROW(Source!A79)</f>
        <v>79</v>
      </c>
      <c r="B77">
        <v>16808636</v>
      </c>
      <c r="C77">
        <v>16810282</v>
      </c>
      <c r="D77">
        <v>15196127</v>
      </c>
      <c r="E77">
        <v>1</v>
      </c>
      <c r="F77">
        <v>1</v>
      </c>
      <c r="G77">
        <v>1</v>
      </c>
      <c r="H77">
        <v>3</v>
      </c>
      <c r="I77" t="s">
        <v>192</v>
      </c>
      <c r="J77" t="s">
        <v>194</v>
      </c>
      <c r="K77" t="s">
        <v>193</v>
      </c>
      <c r="L77">
        <v>1327</v>
      </c>
      <c r="N77">
        <v>1005</v>
      </c>
      <c r="O77" t="s">
        <v>190</v>
      </c>
      <c r="P77" t="s">
        <v>190</v>
      </c>
      <c r="Q77">
        <v>1</v>
      </c>
      <c r="W77">
        <v>0</v>
      </c>
      <c r="X77">
        <v>-863452992</v>
      </c>
      <c r="Y77">
        <v>100</v>
      </c>
      <c r="AA77">
        <v>9721.4500000000007</v>
      </c>
      <c r="AB77">
        <v>0</v>
      </c>
      <c r="AC77">
        <v>0</v>
      </c>
      <c r="AD77">
        <v>0</v>
      </c>
      <c r="AE77">
        <v>1448.8</v>
      </c>
      <c r="AF77">
        <v>0</v>
      </c>
      <c r="AG77">
        <v>0</v>
      </c>
      <c r="AH77">
        <v>0</v>
      </c>
      <c r="AI77">
        <v>6.71</v>
      </c>
      <c r="AJ77">
        <v>1</v>
      </c>
      <c r="AK77">
        <v>1</v>
      </c>
      <c r="AL77">
        <v>1</v>
      </c>
      <c r="AN77">
        <v>0</v>
      </c>
      <c r="AO77">
        <v>0</v>
      </c>
      <c r="AP77">
        <v>1</v>
      </c>
      <c r="AQ77">
        <v>0</v>
      </c>
      <c r="AR77">
        <v>0</v>
      </c>
      <c r="AS77" t="s">
        <v>6</v>
      </c>
      <c r="AT77">
        <v>100</v>
      </c>
      <c r="AU77" t="s">
        <v>6</v>
      </c>
      <c r="AV77">
        <v>0</v>
      </c>
      <c r="AW77">
        <v>1</v>
      </c>
      <c r="AX77">
        <v>-1</v>
      </c>
      <c r="AY77">
        <v>0</v>
      </c>
      <c r="AZ77">
        <v>0</v>
      </c>
      <c r="BA77" t="s">
        <v>6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Y77*Source!I79</f>
        <v>9.4499999999999993</v>
      </c>
      <c r="CY77">
        <f t="shared" si="9"/>
        <v>9721.4500000000007</v>
      </c>
      <c r="CZ77">
        <f t="shared" si="10"/>
        <v>1448.8</v>
      </c>
      <c r="DA77">
        <f t="shared" si="11"/>
        <v>6.71</v>
      </c>
      <c r="DB77">
        <f t="shared" si="12"/>
        <v>144880</v>
      </c>
      <c r="DC77">
        <f t="shared" si="13"/>
        <v>0</v>
      </c>
    </row>
    <row r="78" spans="1:107" x14ac:dyDescent="0.2">
      <c r="A78">
        <f>ROW(Source!A79)</f>
        <v>79</v>
      </c>
      <c r="B78">
        <v>16808636</v>
      </c>
      <c r="C78">
        <v>16810282</v>
      </c>
      <c r="D78">
        <v>15204315</v>
      </c>
      <c r="E78">
        <v>1</v>
      </c>
      <c r="F78">
        <v>1</v>
      </c>
      <c r="G78">
        <v>1</v>
      </c>
      <c r="H78">
        <v>3</v>
      </c>
      <c r="I78" t="s">
        <v>819</v>
      </c>
      <c r="J78" t="s">
        <v>820</v>
      </c>
      <c r="K78" t="s">
        <v>821</v>
      </c>
      <c r="L78">
        <v>1296</v>
      </c>
      <c r="N78">
        <v>1002</v>
      </c>
      <c r="O78" t="s">
        <v>822</v>
      </c>
      <c r="P78" t="s">
        <v>822</v>
      </c>
      <c r="Q78">
        <v>1</v>
      </c>
      <c r="W78">
        <v>0</v>
      </c>
      <c r="X78">
        <v>-2122226716</v>
      </c>
      <c r="Y78">
        <v>32.4</v>
      </c>
      <c r="AA78">
        <v>314.43</v>
      </c>
      <c r="AB78">
        <v>0</v>
      </c>
      <c r="AC78">
        <v>0</v>
      </c>
      <c r="AD78">
        <v>0</v>
      </c>
      <c r="AE78">
        <v>46.86</v>
      </c>
      <c r="AF78">
        <v>0</v>
      </c>
      <c r="AG78">
        <v>0</v>
      </c>
      <c r="AH78">
        <v>0</v>
      </c>
      <c r="AI78">
        <v>6.71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6</v>
      </c>
      <c r="AT78">
        <v>32.4</v>
      </c>
      <c r="AU78" t="s">
        <v>6</v>
      </c>
      <c r="AV78">
        <v>0</v>
      </c>
      <c r="AW78">
        <v>2</v>
      </c>
      <c r="AX78">
        <v>16810305</v>
      </c>
      <c r="AY78">
        <v>1</v>
      </c>
      <c r="AZ78">
        <v>0</v>
      </c>
      <c r="BA78">
        <v>83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Y78*Source!I79</f>
        <v>3.0617999999999999</v>
      </c>
      <c r="CY78">
        <f t="shared" si="9"/>
        <v>314.43</v>
      </c>
      <c r="CZ78">
        <f t="shared" si="10"/>
        <v>46.86</v>
      </c>
      <c r="DA78">
        <f t="shared" si="11"/>
        <v>6.71</v>
      </c>
      <c r="DB78">
        <f t="shared" si="12"/>
        <v>1518.26</v>
      </c>
      <c r="DC78">
        <f t="shared" si="13"/>
        <v>0</v>
      </c>
    </row>
    <row r="79" spans="1:107" x14ac:dyDescent="0.2">
      <c r="A79">
        <f>ROW(Source!A84)</f>
        <v>84</v>
      </c>
      <c r="B79">
        <v>16808636</v>
      </c>
      <c r="C79">
        <v>16810310</v>
      </c>
      <c r="D79">
        <v>15432236</v>
      </c>
      <c r="E79">
        <v>1</v>
      </c>
      <c r="F79">
        <v>1</v>
      </c>
      <c r="G79">
        <v>1</v>
      </c>
      <c r="H79">
        <v>1</v>
      </c>
      <c r="I79" t="s">
        <v>823</v>
      </c>
      <c r="J79" t="s">
        <v>6</v>
      </c>
      <c r="K79" t="s">
        <v>824</v>
      </c>
      <c r="L79">
        <v>1191</v>
      </c>
      <c r="N79">
        <v>1013</v>
      </c>
      <c r="O79" t="s">
        <v>708</v>
      </c>
      <c r="P79" t="s">
        <v>708</v>
      </c>
      <c r="Q79">
        <v>1</v>
      </c>
      <c r="W79">
        <v>0</v>
      </c>
      <c r="X79">
        <v>-509590494</v>
      </c>
      <c r="Y79">
        <v>10.791600000000001</v>
      </c>
      <c r="AA79">
        <v>0</v>
      </c>
      <c r="AB79">
        <v>0</v>
      </c>
      <c r="AC79">
        <v>0</v>
      </c>
      <c r="AD79">
        <v>54.82</v>
      </c>
      <c r="AE79">
        <v>0</v>
      </c>
      <c r="AF79">
        <v>0</v>
      </c>
      <c r="AG79">
        <v>0</v>
      </c>
      <c r="AH79">
        <v>8.17</v>
      </c>
      <c r="AI79">
        <v>1</v>
      </c>
      <c r="AJ79">
        <v>1</v>
      </c>
      <c r="AK79">
        <v>1</v>
      </c>
      <c r="AL79">
        <v>6.71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6</v>
      </c>
      <c r="AT79">
        <v>7.82</v>
      </c>
      <c r="AU79" t="s">
        <v>175</v>
      </c>
      <c r="AV79">
        <v>1</v>
      </c>
      <c r="AW79">
        <v>2</v>
      </c>
      <c r="AX79">
        <v>16810317</v>
      </c>
      <c r="AY79">
        <v>1</v>
      </c>
      <c r="AZ79">
        <v>0</v>
      </c>
      <c r="BA79">
        <v>84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Y79*Source!I84</f>
        <v>5.3958000000000004</v>
      </c>
      <c r="CY79">
        <f>AD79</f>
        <v>54.82</v>
      </c>
      <c r="CZ79">
        <f>AH79</f>
        <v>8.17</v>
      </c>
      <c r="DA79">
        <f>AL79</f>
        <v>6.71</v>
      </c>
      <c r="DB79">
        <f>ROUND(((ROUND(AT79*CZ79,2)*1.15)*1.2),2)</f>
        <v>88.17</v>
      </c>
      <c r="DC79">
        <f>ROUND(((ROUND(AT79*AG79,2)*1.15)*1.2),2)</f>
        <v>0</v>
      </c>
    </row>
    <row r="80" spans="1:107" x14ac:dyDescent="0.2">
      <c r="A80">
        <f>ROW(Source!A84)</f>
        <v>84</v>
      </c>
      <c r="B80">
        <v>16808636</v>
      </c>
      <c r="C80">
        <v>16810310</v>
      </c>
      <c r="D80">
        <v>15430395</v>
      </c>
      <c r="E80">
        <v>1</v>
      </c>
      <c r="F80">
        <v>1</v>
      </c>
      <c r="G80">
        <v>1</v>
      </c>
      <c r="H80">
        <v>1</v>
      </c>
      <c r="I80" t="s">
        <v>709</v>
      </c>
      <c r="J80" t="s">
        <v>6</v>
      </c>
      <c r="K80" t="s">
        <v>710</v>
      </c>
      <c r="L80">
        <v>1191</v>
      </c>
      <c r="N80">
        <v>1013</v>
      </c>
      <c r="O80" t="s">
        <v>708</v>
      </c>
      <c r="P80" t="s">
        <v>708</v>
      </c>
      <c r="Q80">
        <v>1</v>
      </c>
      <c r="W80">
        <v>0</v>
      </c>
      <c r="X80">
        <v>-1417349443</v>
      </c>
      <c r="Y80">
        <v>0.04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1</v>
      </c>
      <c r="AJ80">
        <v>1</v>
      </c>
      <c r="AK80">
        <v>6.71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6</v>
      </c>
      <c r="AT80">
        <v>0.04</v>
      </c>
      <c r="AU80" t="s">
        <v>6</v>
      </c>
      <c r="AV80">
        <v>2</v>
      </c>
      <c r="AW80">
        <v>2</v>
      </c>
      <c r="AX80">
        <v>16810318</v>
      </c>
      <c r="AY80">
        <v>1</v>
      </c>
      <c r="AZ80">
        <v>2048</v>
      </c>
      <c r="BA80">
        <v>85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Y80*Source!I84</f>
        <v>0.02</v>
      </c>
      <c r="CY80">
        <f>AD80</f>
        <v>0</v>
      </c>
      <c r="CZ80">
        <f>AH80</f>
        <v>0</v>
      </c>
      <c r="DA80">
        <f>AL80</f>
        <v>1</v>
      </c>
      <c r="DB80">
        <f>ROUND(ROUND(AT80*CZ80,2),2)</f>
        <v>0</v>
      </c>
      <c r="DC80">
        <f>ROUND(ROUND(AT80*AG80,2),2)</f>
        <v>0</v>
      </c>
    </row>
    <row r="81" spans="1:107" x14ac:dyDescent="0.2">
      <c r="A81">
        <f>ROW(Source!A84)</f>
        <v>84</v>
      </c>
      <c r="B81">
        <v>16808636</v>
      </c>
      <c r="C81">
        <v>16810310</v>
      </c>
      <c r="D81">
        <v>15249073</v>
      </c>
      <c r="E81">
        <v>1</v>
      </c>
      <c r="F81">
        <v>1</v>
      </c>
      <c r="G81">
        <v>1</v>
      </c>
      <c r="H81">
        <v>2</v>
      </c>
      <c r="I81" t="s">
        <v>724</v>
      </c>
      <c r="J81" t="s">
        <v>725</v>
      </c>
      <c r="K81" t="s">
        <v>726</v>
      </c>
      <c r="L81">
        <v>1368</v>
      </c>
      <c r="N81">
        <v>1011</v>
      </c>
      <c r="O81" t="s">
        <v>714</v>
      </c>
      <c r="P81" t="s">
        <v>714</v>
      </c>
      <c r="Q81">
        <v>1</v>
      </c>
      <c r="W81">
        <v>0</v>
      </c>
      <c r="X81">
        <v>1372534845</v>
      </c>
      <c r="Y81">
        <v>0.06</v>
      </c>
      <c r="AA81">
        <v>0</v>
      </c>
      <c r="AB81">
        <v>440.91</v>
      </c>
      <c r="AC81">
        <v>11.6</v>
      </c>
      <c r="AD81">
        <v>0</v>
      </c>
      <c r="AE81">
        <v>0</v>
      </c>
      <c r="AF81">
        <v>65.709999999999994</v>
      </c>
      <c r="AG81">
        <v>11.6</v>
      </c>
      <c r="AH81">
        <v>0</v>
      </c>
      <c r="AI81">
        <v>1</v>
      </c>
      <c r="AJ81">
        <v>6.71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6</v>
      </c>
      <c r="AT81">
        <v>0.04</v>
      </c>
      <c r="AU81" t="s">
        <v>174</v>
      </c>
      <c r="AV81">
        <v>0</v>
      </c>
      <c r="AW81">
        <v>2</v>
      </c>
      <c r="AX81">
        <v>16810319</v>
      </c>
      <c r="AY81">
        <v>1</v>
      </c>
      <c r="AZ81">
        <v>0</v>
      </c>
      <c r="BA81">
        <v>86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Y81*Source!I84</f>
        <v>0.03</v>
      </c>
      <c r="CY81">
        <f>AB81</f>
        <v>440.91</v>
      </c>
      <c r="CZ81">
        <f>AF81</f>
        <v>65.709999999999994</v>
      </c>
      <c r="DA81">
        <f>AJ81</f>
        <v>6.71</v>
      </c>
      <c r="DB81">
        <f>ROUND(((ROUND(AT81*CZ81,2)*1.25)*1.2),2)</f>
        <v>3.95</v>
      </c>
      <c r="DC81">
        <f>ROUND(((ROUND(AT81*AG81,2)*1.25)*1.2),2)</f>
        <v>0.69</v>
      </c>
    </row>
    <row r="82" spans="1:107" x14ac:dyDescent="0.2">
      <c r="A82">
        <f>ROW(Source!A84)</f>
        <v>84</v>
      </c>
      <c r="B82">
        <v>16808636</v>
      </c>
      <c r="C82">
        <v>16810310</v>
      </c>
      <c r="D82">
        <v>15170039</v>
      </c>
      <c r="E82">
        <v>1</v>
      </c>
      <c r="F82">
        <v>1</v>
      </c>
      <c r="G82">
        <v>1</v>
      </c>
      <c r="H82">
        <v>3</v>
      </c>
      <c r="I82" t="s">
        <v>810</v>
      </c>
      <c r="J82" t="s">
        <v>811</v>
      </c>
      <c r="K82" t="s">
        <v>812</v>
      </c>
      <c r="L82">
        <v>1348</v>
      </c>
      <c r="N82">
        <v>1009</v>
      </c>
      <c r="O82" t="s">
        <v>104</v>
      </c>
      <c r="P82" t="s">
        <v>104</v>
      </c>
      <c r="Q82">
        <v>1000</v>
      </c>
      <c r="W82">
        <v>0</v>
      </c>
      <c r="X82">
        <v>1174701286</v>
      </c>
      <c r="Y82">
        <v>7.1000000000000002E-4</v>
      </c>
      <c r="AA82">
        <v>80372.38</v>
      </c>
      <c r="AB82">
        <v>0</v>
      </c>
      <c r="AC82">
        <v>0</v>
      </c>
      <c r="AD82">
        <v>0</v>
      </c>
      <c r="AE82">
        <v>11978</v>
      </c>
      <c r="AF82">
        <v>0</v>
      </c>
      <c r="AG82">
        <v>0</v>
      </c>
      <c r="AH82">
        <v>0</v>
      </c>
      <c r="AI82">
        <v>6.71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6</v>
      </c>
      <c r="AT82">
        <v>7.1000000000000002E-4</v>
      </c>
      <c r="AU82" t="s">
        <v>6</v>
      </c>
      <c r="AV82">
        <v>0</v>
      </c>
      <c r="AW82">
        <v>2</v>
      </c>
      <c r="AX82">
        <v>16810320</v>
      </c>
      <c r="AY82">
        <v>1</v>
      </c>
      <c r="AZ82">
        <v>0</v>
      </c>
      <c r="BA82">
        <v>87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Y82*Source!I84</f>
        <v>3.5500000000000001E-4</v>
      </c>
      <c r="CY82">
        <f>AA82</f>
        <v>80372.38</v>
      </c>
      <c r="CZ82">
        <f>AE82</f>
        <v>11978</v>
      </c>
      <c r="DA82">
        <f>AI82</f>
        <v>6.71</v>
      </c>
      <c r="DB82">
        <f t="shared" ref="DB82:DB92" si="14">ROUND(ROUND(AT82*CZ82,2),2)</f>
        <v>8.5</v>
      </c>
      <c r="DC82">
        <f t="shared" ref="DC82:DC92" si="15">ROUND(ROUND(AT82*AG82,2),2)</f>
        <v>0</v>
      </c>
    </row>
    <row r="83" spans="1:107" x14ac:dyDescent="0.2">
      <c r="A83">
        <f>ROW(Source!A84)</f>
        <v>84</v>
      </c>
      <c r="B83">
        <v>16808636</v>
      </c>
      <c r="C83">
        <v>16810310</v>
      </c>
      <c r="D83">
        <v>15162185</v>
      </c>
      <c r="E83">
        <v>17</v>
      </c>
      <c r="F83">
        <v>1</v>
      </c>
      <c r="G83">
        <v>1</v>
      </c>
      <c r="H83">
        <v>3</v>
      </c>
      <c r="I83" t="s">
        <v>200</v>
      </c>
      <c r="J83" t="s">
        <v>6</v>
      </c>
      <c r="K83" t="s">
        <v>201</v>
      </c>
      <c r="L83">
        <v>1301</v>
      </c>
      <c r="N83">
        <v>1003</v>
      </c>
      <c r="O83" t="s">
        <v>202</v>
      </c>
      <c r="P83" t="s">
        <v>202</v>
      </c>
      <c r="Q83">
        <v>1</v>
      </c>
      <c r="W83">
        <v>0</v>
      </c>
      <c r="X83">
        <v>1542502361</v>
      </c>
      <c r="Y83">
        <v>112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6.71</v>
      </c>
      <c r="AJ83">
        <v>1</v>
      </c>
      <c r="AK83">
        <v>1</v>
      </c>
      <c r="AL83">
        <v>1</v>
      </c>
      <c r="AN83">
        <v>0</v>
      </c>
      <c r="AO83">
        <v>0</v>
      </c>
      <c r="AP83">
        <v>0</v>
      </c>
      <c r="AQ83">
        <v>0</v>
      </c>
      <c r="AR83">
        <v>0</v>
      </c>
      <c r="AS83" t="s">
        <v>6</v>
      </c>
      <c r="AT83">
        <v>112</v>
      </c>
      <c r="AU83" t="s">
        <v>6</v>
      </c>
      <c r="AV83">
        <v>0</v>
      </c>
      <c r="AW83">
        <v>2</v>
      </c>
      <c r="AX83">
        <v>16810321</v>
      </c>
      <c r="AY83">
        <v>1</v>
      </c>
      <c r="AZ83">
        <v>0</v>
      </c>
      <c r="BA83">
        <v>88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Y83*Source!I84</f>
        <v>56</v>
      </c>
      <c r="CY83">
        <f>AA83</f>
        <v>0</v>
      </c>
      <c r="CZ83">
        <f>AE83</f>
        <v>0</v>
      </c>
      <c r="DA83">
        <f>AI83</f>
        <v>6.71</v>
      </c>
      <c r="DB83">
        <f t="shared" si="14"/>
        <v>0</v>
      </c>
      <c r="DC83">
        <f t="shared" si="15"/>
        <v>0</v>
      </c>
    </row>
    <row r="84" spans="1:107" x14ac:dyDescent="0.2">
      <c r="A84">
        <f>ROW(Source!A84)</f>
        <v>84</v>
      </c>
      <c r="B84">
        <v>16808636</v>
      </c>
      <c r="C84">
        <v>16810310</v>
      </c>
      <c r="D84">
        <v>15195506</v>
      </c>
      <c r="E84">
        <v>1</v>
      </c>
      <c r="F84">
        <v>1</v>
      </c>
      <c r="G84">
        <v>1</v>
      </c>
      <c r="H84">
        <v>3</v>
      </c>
      <c r="I84" t="s">
        <v>204</v>
      </c>
      <c r="J84" t="s">
        <v>206</v>
      </c>
      <c r="K84" t="s">
        <v>205</v>
      </c>
      <c r="L84">
        <v>1301</v>
      </c>
      <c r="N84">
        <v>1003</v>
      </c>
      <c r="O84" t="s">
        <v>202</v>
      </c>
      <c r="P84" t="s">
        <v>202</v>
      </c>
      <c r="Q84">
        <v>1</v>
      </c>
      <c r="W84">
        <v>0</v>
      </c>
      <c r="X84">
        <v>1273548754</v>
      </c>
      <c r="Y84">
        <v>112</v>
      </c>
      <c r="AA84">
        <v>26.37</v>
      </c>
      <c r="AB84">
        <v>0</v>
      </c>
      <c r="AC84">
        <v>0</v>
      </c>
      <c r="AD84">
        <v>0</v>
      </c>
      <c r="AE84">
        <v>3.93</v>
      </c>
      <c r="AF84">
        <v>0</v>
      </c>
      <c r="AG84">
        <v>0</v>
      </c>
      <c r="AH84">
        <v>0</v>
      </c>
      <c r="AI84">
        <v>6.71</v>
      </c>
      <c r="AJ84">
        <v>1</v>
      </c>
      <c r="AK84">
        <v>1</v>
      </c>
      <c r="AL84">
        <v>1</v>
      </c>
      <c r="AN84">
        <v>0</v>
      </c>
      <c r="AO84">
        <v>0</v>
      </c>
      <c r="AP84">
        <v>0</v>
      </c>
      <c r="AQ84">
        <v>0</v>
      </c>
      <c r="AR84">
        <v>0</v>
      </c>
      <c r="AS84" t="s">
        <v>6</v>
      </c>
      <c r="AT84">
        <v>112</v>
      </c>
      <c r="AU84" t="s">
        <v>6</v>
      </c>
      <c r="AV84">
        <v>0</v>
      </c>
      <c r="AW84">
        <v>1</v>
      </c>
      <c r="AX84">
        <v>-1</v>
      </c>
      <c r="AY84">
        <v>0</v>
      </c>
      <c r="AZ84">
        <v>0</v>
      </c>
      <c r="BA84" t="s">
        <v>6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Y84*Source!I84</f>
        <v>56</v>
      </c>
      <c r="CY84">
        <f>AA84</f>
        <v>26.37</v>
      </c>
      <c r="CZ84">
        <f>AE84</f>
        <v>3.93</v>
      </c>
      <c r="DA84">
        <f>AI84</f>
        <v>6.71</v>
      </c>
      <c r="DB84">
        <f t="shared" si="14"/>
        <v>440.16</v>
      </c>
      <c r="DC84">
        <f t="shared" si="15"/>
        <v>0</v>
      </c>
    </row>
    <row r="85" spans="1:107" x14ac:dyDescent="0.2">
      <c r="A85">
        <f>ROW(Source!A87)</f>
        <v>87</v>
      </c>
      <c r="B85">
        <v>16808636</v>
      </c>
      <c r="C85">
        <v>16810324</v>
      </c>
      <c r="D85">
        <v>15430497</v>
      </c>
      <c r="E85">
        <v>1</v>
      </c>
      <c r="F85">
        <v>1</v>
      </c>
      <c r="G85">
        <v>1</v>
      </c>
      <c r="H85">
        <v>1</v>
      </c>
      <c r="I85" t="s">
        <v>825</v>
      </c>
      <c r="J85" t="s">
        <v>6</v>
      </c>
      <c r="K85" t="s">
        <v>826</v>
      </c>
      <c r="L85">
        <v>1191</v>
      </c>
      <c r="N85">
        <v>1013</v>
      </c>
      <c r="O85" t="s">
        <v>708</v>
      </c>
      <c r="P85" t="s">
        <v>708</v>
      </c>
      <c r="Q85">
        <v>1</v>
      </c>
      <c r="W85">
        <v>0</v>
      </c>
      <c r="X85">
        <v>-719309759</v>
      </c>
      <c r="Y85">
        <v>228.35</v>
      </c>
      <c r="AA85">
        <v>0</v>
      </c>
      <c r="AB85">
        <v>0</v>
      </c>
      <c r="AC85">
        <v>0</v>
      </c>
      <c r="AD85">
        <v>59.45</v>
      </c>
      <c r="AE85">
        <v>0</v>
      </c>
      <c r="AF85">
        <v>0</v>
      </c>
      <c r="AG85">
        <v>0</v>
      </c>
      <c r="AH85">
        <v>8.86</v>
      </c>
      <c r="AI85">
        <v>1</v>
      </c>
      <c r="AJ85">
        <v>1</v>
      </c>
      <c r="AK85">
        <v>1</v>
      </c>
      <c r="AL85">
        <v>6.71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6</v>
      </c>
      <c r="AT85">
        <v>228.35</v>
      </c>
      <c r="AU85" t="s">
        <v>6</v>
      </c>
      <c r="AV85">
        <v>1</v>
      </c>
      <c r="AW85">
        <v>2</v>
      </c>
      <c r="AX85">
        <v>16810331</v>
      </c>
      <c r="AY85">
        <v>1</v>
      </c>
      <c r="AZ85">
        <v>0</v>
      </c>
      <c r="BA85">
        <v>89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Y85*Source!I87</f>
        <v>32.882399999999997</v>
      </c>
      <c r="CY85">
        <f>AD85</f>
        <v>59.45</v>
      </c>
      <c r="CZ85">
        <f>AH85</f>
        <v>8.86</v>
      </c>
      <c r="DA85">
        <f>AL85</f>
        <v>6.71</v>
      </c>
      <c r="DB85">
        <f t="shared" si="14"/>
        <v>2023.18</v>
      </c>
      <c r="DC85">
        <f t="shared" si="15"/>
        <v>0</v>
      </c>
    </row>
    <row r="86" spans="1:107" x14ac:dyDescent="0.2">
      <c r="A86">
        <f>ROW(Source!A87)</f>
        <v>87</v>
      </c>
      <c r="B86">
        <v>16808636</v>
      </c>
      <c r="C86">
        <v>16810324</v>
      </c>
      <c r="D86">
        <v>15430395</v>
      </c>
      <c r="E86">
        <v>1</v>
      </c>
      <c r="F86">
        <v>1</v>
      </c>
      <c r="G86">
        <v>1</v>
      </c>
      <c r="H86">
        <v>1</v>
      </c>
      <c r="I86" t="s">
        <v>709</v>
      </c>
      <c r="J86" t="s">
        <v>6</v>
      </c>
      <c r="K86" t="s">
        <v>710</v>
      </c>
      <c r="L86">
        <v>1191</v>
      </c>
      <c r="N86">
        <v>1013</v>
      </c>
      <c r="O86" t="s">
        <v>708</v>
      </c>
      <c r="P86" t="s">
        <v>708</v>
      </c>
      <c r="Q86">
        <v>1</v>
      </c>
      <c r="W86">
        <v>0</v>
      </c>
      <c r="X86">
        <v>-1417349443</v>
      </c>
      <c r="Y86">
        <v>0.67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1</v>
      </c>
      <c r="AJ86">
        <v>1</v>
      </c>
      <c r="AK86">
        <v>6.71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6</v>
      </c>
      <c r="AT86">
        <v>0.67</v>
      </c>
      <c r="AU86" t="s">
        <v>6</v>
      </c>
      <c r="AV86">
        <v>2</v>
      </c>
      <c r="AW86">
        <v>2</v>
      </c>
      <c r="AX86">
        <v>16810332</v>
      </c>
      <c r="AY86">
        <v>1</v>
      </c>
      <c r="AZ86">
        <v>0</v>
      </c>
      <c r="BA86">
        <v>90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Y86*Source!I87</f>
        <v>9.6479999999999996E-2</v>
      </c>
      <c r="CY86">
        <f>AD86</f>
        <v>0</v>
      </c>
      <c r="CZ86">
        <f>AH86</f>
        <v>0</v>
      </c>
      <c r="DA86">
        <f>AL86</f>
        <v>1</v>
      </c>
      <c r="DB86">
        <f t="shared" si="14"/>
        <v>0</v>
      </c>
      <c r="DC86">
        <f t="shared" si="15"/>
        <v>0</v>
      </c>
    </row>
    <row r="87" spans="1:107" x14ac:dyDescent="0.2">
      <c r="A87">
        <f>ROW(Source!A87)</f>
        <v>87</v>
      </c>
      <c r="B87">
        <v>16808636</v>
      </c>
      <c r="C87">
        <v>16810324</v>
      </c>
      <c r="D87">
        <v>15247974</v>
      </c>
      <c r="E87">
        <v>1</v>
      </c>
      <c r="F87">
        <v>1</v>
      </c>
      <c r="G87">
        <v>1</v>
      </c>
      <c r="H87">
        <v>2</v>
      </c>
      <c r="I87" t="s">
        <v>711</v>
      </c>
      <c r="J87" t="s">
        <v>712</v>
      </c>
      <c r="K87" t="s">
        <v>713</v>
      </c>
      <c r="L87">
        <v>1368</v>
      </c>
      <c r="N87">
        <v>1011</v>
      </c>
      <c r="O87" t="s">
        <v>714</v>
      </c>
      <c r="P87" t="s">
        <v>714</v>
      </c>
      <c r="Q87">
        <v>1</v>
      </c>
      <c r="W87">
        <v>0</v>
      </c>
      <c r="X87">
        <v>1188625873</v>
      </c>
      <c r="Y87">
        <v>0.67</v>
      </c>
      <c r="AA87">
        <v>0</v>
      </c>
      <c r="AB87">
        <v>209.75</v>
      </c>
      <c r="AC87">
        <v>13.5</v>
      </c>
      <c r="AD87">
        <v>0</v>
      </c>
      <c r="AE87">
        <v>0</v>
      </c>
      <c r="AF87">
        <v>31.26</v>
      </c>
      <c r="AG87">
        <v>13.5</v>
      </c>
      <c r="AH87">
        <v>0</v>
      </c>
      <c r="AI87">
        <v>1</v>
      </c>
      <c r="AJ87">
        <v>6.71</v>
      </c>
      <c r="AK87">
        <v>1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6</v>
      </c>
      <c r="AT87">
        <v>0.67</v>
      </c>
      <c r="AU87" t="s">
        <v>6</v>
      </c>
      <c r="AV87">
        <v>0</v>
      </c>
      <c r="AW87">
        <v>2</v>
      </c>
      <c r="AX87">
        <v>16810333</v>
      </c>
      <c r="AY87">
        <v>1</v>
      </c>
      <c r="AZ87">
        <v>0</v>
      </c>
      <c r="BA87">
        <v>91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Y87*Source!I87</f>
        <v>9.6479999999999996E-2</v>
      </c>
      <c r="CY87">
        <f>AB87</f>
        <v>209.75</v>
      </c>
      <c r="CZ87">
        <f>AF87</f>
        <v>31.26</v>
      </c>
      <c r="DA87">
        <f>AJ87</f>
        <v>6.71</v>
      </c>
      <c r="DB87">
        <f t="shared" si="14"/>
        <v>20.94</v>
      </c>
      <c r="DC87">
        <f t="shared" si="15"/>
        <v>9.0500000000000007</v>
      </c>
    </row>
    <row r="88" spans="1:107" x14ac:dyDescent="0.2">
      <c r="A88">
        <f>ROW(Source!A87)</f>
        <v>87</v>
      </c>
      <c r="B88">
        <v>16808636</v>
      </c>
      <c r="C88">
        <v>16810324</v>
      </c>
      <c r="D88">
        <v>15167286</v>
      </c>
      <c r="E88">
        <v>1</v>
      </c>
      <c r="F88">
        <v>1</v>
      </c>
      <c r="G88">
        <v>1</v>
      </c>
      <c r="H88">
        <v>3</v>
      </c>
      <c r="I88" t="s">
        <v>781</v>
      </c>
      <c r="J88" t="s">
        <v>782</v>
      </c>
      <c r="K88" t="s">
        <v>783</v>
      </c>
      <c r="L88">
        <v>1339</v>
      </c>
      <c r="N88">
        <v>1007</v>
      </c>
      <c r="O88" t="s">
        <v>254</v>
      </c>
      <c r="P88" t="s">
        <v>254</v>
      </c>
      <c r="Q88">
        <v>1</v>
      </c>
      <c r="W88">
        <v>0</v>
      </c>
      <c r="X88">
        <v>-1660354250</v>
      </c>
      <c r="Y88">
        <v>0.35</v>
      </c>
      <c r="AA88">
        <v>16.37</v>
      </c>
      <c r="AB88">
        <v>0</v>
      </c>
      <c r="AC88">
        <v>0</v>
      </c>
      <c r="AD88">
        <v>0</v>
      </c>
      <c r="AE88">
        <v>2.44</v>
      </c>
      <c r="AF88">
        <v>0</v>
      </c>
      <c r="AG88">
        <v>0</v>
      </c>
      <c r="AH88">
        <v>0</v>
      </c>
      <c r="AI88">
        <v>6.71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6</v>
      </c>
      <c r="AT88">
        <v>0.35</v>
      </c>
      <c r="AU88" t="s">
        <v>6</v>
      </c>
      <c r="AV88">
        <v>0</v>
      </c>
      <c r="AW88">
        <v>2</v>
      </c>
      <c r="AX88">
        <v>16810334</v>
      </c>
      <c r="AY88">
        <v>1</v>
      </c>
      <c r="AZ88">
        <v>0</v>
      </c>
      <c r="BA88">
        <v>92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Y88*Source!I87</f>
        <v>5.0399999999999993E-2</v>
      </c>
      <c r="CY88">
        <f>AA88</f>
        <v>16.37</v>
      </c>
      <c r="CZ88">
        <f>AE88</f>
        <v>2.44</v>
      </c>
      <c r="DA88">
        <f>AI88</f>
        <v>6.71</v>
      </c>
      <c r="DB88">
        <f t="shared" si="14"/>
        <v>0.85</v>
      </c>
      <c r="DC88">
        <f t="shared" si="15"/>
        <v>0</v>
      </c>
    </row>
    <row r="89" spans="1:107" x14ac:dyDescent="0.2">
      <c r="A89">
        <f>ROW(Source!A87)</f>
        <v>87</v>
      </c>
      <c r="B89">
        <v>16808636</v>
      </c>
      <c r="C89">
        <v>16810324</v>
      </c>
      <c r="D89">
        <v>15172875</v>
      </c>
      <c r="E89">
        <v>1</v>
      </c>
      <c r="F89">
        <v>1</v>
      </c>
      <c r="G89">
        <v>1</v>
      </c>
      <c r="H89">
        <v>3</v>
      </c>
      <c r="I89" t="s">
        <v>827</v>
      </c>
      <c r="J89" t="s">
        <v>828</v>
      </c>
      <c r="K89" t="s">
        <v>829</v>
      </c>
      <c r="L89">
        <v>1339</v>
      </c>
      <c r="N89">
        <v>1007</v>
      </c>
      <c r="O89" t="s">
        <v>254</v>
      </c>
      <c r="P89" t="s">
        <v>254</v>
      </c>
      <c r="Q89">
        <v>1</v>
      </c>
      <c r="W89">
        <v>0</v>
      </c>
      <c r="X89">
        <v>-1001479081</v>
      </c>
      <c r="Y89">
        <v>2.2000000000000002</v>
      </c>
      <c r="AA89">
        <v>3475.18</v>
      </c>
      <c r="AB89">
        <v>0</v>
      </c>
      <c r="AC89">
        <v>0</v>
      </c>
      <c r="AD89">
        <v>0</v>
      </c>
      <c r="AE89">
        <v>517.91</v>
      </c>
      <c r="AF89">
        <v>0</v>
      </c>
      <c r="AG89">
        <v>0</v>
      </c>
      <c r="AH89">
        <v>0</v>
      </c>
      <c r="AI89">
        <v>6.71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6</v>
      </c>
      <c r="AT89">
        <v>2.2000000000000002</v>
      </c>
      <c r="AU89" t="s">
        <v>6</v>
      </c>
      <c r="AV89">
        <v>0</v>
      </c>
      <c r="AW89">
        <v>2</v>
      </c>
      <c r="AX89">
        <v>16810336</v>
      </c>
      <c r="AY89">
        <v>1</v>
      </c>
      <c r="AZ89">
        <v>0</v>
      </c>
      <c r="BA89">
        <v>94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Y89*Source!I87</f>
        <v>0.31680000000000003</v>
      </c>
      <c r="CY89">
        <f>AA89</f>
        <v>3475.18</v>
      </c>
      <c r="CZ89">
        <f>AE89</f>
        <v>517.91</v>
      </c>
      <c r="DA89">
        <f>AI89</f>
        <v>6.71</v>
      </c>
      <c r="DB89">
        <f t="shared" si="14"/>
        <v>1139.4000000000001</v>
      </c>
      <c r="DC89">
        <f t="shared" si="15"/>
        <v>0</v>
      </c>
    </row>
    <row r="90" spans="1:107" x14ac:dyDescent="0.2">
      <c r="A90">
        <f>ROW(Source!A88)</f>
        <v>88</v>
      </c>
      <c r="B90">
        <v>16808636</v>
      </c>
      <c r="C90">
        <v>16810338</v>
      </c>
      <c r="D90">
        <v>15430517</v>
      </c>
      <c r="E90">
        <v>1</v>
      </c>
      <c r="F90">
        <v>1</v>
      </c>
      <c r="G90">
        <v>1</v>
      </c>
      <c r="H90">
        <v>1</v>
      </c>
      <c r="I90" t="s">
        <v>717</v>
      </c>
      <c r="J90" t="s">
        <v>6</v>
      </c>
      <c r="K90" t="s">
        <v>718</v>
      </c>
      <c r="L90">
        <v>1191</v>
      </c>
      <c r="N90">
        <v>1013</v>
      </c>
      <c r="O90" t="s">
        <v>708</v>
      </c>
      <c r="P90" t="s">
        <v>708</v>
      </c>
      <c r="Q90">
        <v>1</v>
      </c>
      <c r="W90">
        <v>0</v>
      </c>
      <c r="X90">
        <v>735429535</v>
      </c>
      <c r="Y90">
        <v>3.77</v>
      </c>
      <c r="AA90">
        <v>0</v>
      </c>
      <c r="AB90">
        <v>0</v>
      </c>
      <c r="AC90">
        <v>0</v>
      </c>
      <c r="AD90">
        <v>52.34</v>
      </c>
      <c r="AE90">
        <v>0</v>
      </c>
      <c r="AF90">
        <v>0</v>
      </c>
      <c r="AG90">
        <v>0</v>
      </c>
      <c r="AH90">
        <v>7.8</v>
      </c>
      <c r="AI90">
        <v>1</v>
      </c>
      <c r="AJ90">
        <v>1</v>
      </c>
      <c r="AK90">
        <v>1</v>
      </c>
      <c r="AL90">
        <v>6.71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6</v>
      </c>
      <c r="AT90">
        <v>3.77</v>
      </c>
      <c r="AU90" t="s">
        <v>6</v>
      </c>
      <c r="AV90">
        <v>1</v>
      </c>
      <c r="AW90">
        <v>2</v>
      </c>
      <c r="AX90">
        <v>16810342</v>
      </c>
      <c r="AY90">
        <v>1</v>
      </c>
      <c r="AZ90">
        <v>0</v>
      </c>
      <c r="BA90">
        <v>95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Y90*Source!I88</f>
        <v>1.7571970000000001</v>
      </c>
      <c r="CY90">
        <f>AD90</f>
        <v>52.34</v>
      </c>
      <c r="CZ90">
        <f>AH90</f>
        <v>7.8</v>
      </c>
      <c r="DA90">
        <f>AL90</f>
        <v>6.71</v>
      </c>
      <c r="DB90">
        <f t="shared" si="14"/>
        <v>29.41</v>
      </c>
      <c r="DC90">
        <f t="shared" si="15"/>
        <v>0</v>
      </c>
    </row>
    <row r="91" spans="1:107" x14ac:dyDescent="0.2">
      <c r="A91">
        <f>ROW(Source!A88)</f>
        <v>88</v>
      </c>
      <c r="B91">
        <v>16808636</v>
      </c>
      <c r="C91">
        <v>16810338</v>
      </c>
      <c r="D91">
        <v>15165926</v>
      </c>
      <c r="E91">
        <v>1</v>
      </c>
      <c r="F91">
        <v>1</v>
      </c>
      <c r="G91">
        <v>1</v>
      </c>
      <c r="H91">
        <v>3</v>
      </c>
      <c r="I91" t="s">
        <v>830</v>
      </c>
      <c r="J91" t="s">
        <v>831</v>
      </c>
      <c r="K91" t="s">
        <v>832</v>
      </c>
      <c r="L91">
        <v>1348</v>
      </c>
      <c r="N91">
        <v>1009</v>
      </c>
      <c r="O91" t="s">
        <v>104</v>
      </c>
      <c r="P91" t="s">
        <v>104</v>
      </c>
      <c r="Q91">
        <v>1000</v>
      </c>
      <c r="W91">
        <v>0</v>
      </c>
      <c r="X91">
        <v>-1565347455</v>
      </c>
      <c r="Y91">
        <v>1E-3</v>
      </c>
      <c r="AA91">
        <v>50801.41</v>
      </c>
      <c r="AB91">
        <v>0</v>
      </c>
      <c r="AC91">
        <v>0</v>
      </c>
      <c r="AD91">
        <v>0</v>
      </c>
      <c r="AE91">
        <v>7571</v>
      </c>
      <c r="AF91">
        <v>0</v>
      </c>
      <c r="AG91">
        <v>0</v>
      </c>
      <c r="AH91">
        <v>0</v>
      </c>
      <c r="AI91">
        <v>6.71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6</v>
      </c>
      <c r="AT91">
        <v>1E-3</v>
      </c>
      <c r="AU91" t="s">
        <v>6</v>
      </c>
      <c r="AV91">
        <v>0</v>
      </c>
      <c r="AW91">
        <v>2</v>
      </c>
      <c r="AX91">
        <v>16810343</v>
      </c>
      <c r="AY91">
        <v>1</v>
      </c>
      <c r="AZ91">
        <v>0</v>
      </c>
      <c r="BA91">
        <v>96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Y91*Source!I88</f>
        <v>4.661E-4</v>
      </c>
      <c r="CY91">
        <f>AA91</f>
        <v>50801.41</v>
      </c>
      <c r="CZ91">
        <f>AE91</f>
        <v>7571</v>
      </c>
      <c r="DA91">
        <f>AI91</f>
        <v>6.71</v>
      </c>
      <c r="DB91">
        <f t="shared" si="14"/>
        <v>7.57</v>
      </c>
      <c r="DC91">
        <f t="shared" si="15"/>
        <v>0</v>
      </c>
    </row>
    <row r="92" spans="1:107" x14ac:dyDescent="0.2">
      <c r="A92">
        <f>ROW(Source!A88)</f>
        <v>88</v>
      </c>
      <c r="B92">
        <v>16808636</v>
      </c>
      <c r="C92">
        <v>16810338</v>
      </c>
      <c r="D92">
        <v>15167286</v>
      </c>
      <c r="E92">
        <v>1</v>
      </c>
      <c r="F92">
        <v>1</v>
      </c>
      <c r="G92">
        <v>1</v>
      </c>
      <c r="H92">
        <v>3</v>
      </c>
      <c r="I92" t="s">
        <v>781</v>
      </c>
      <c r="J92" t="s">
        <v>782</v>
      </c>
      <c r="K92" t="s">
        <v>783</v>
      </c>
      <c r="L92">
        <v>1339</v>
      </c>
      <c r="N92">
        <v>1007</v>
      </c>
      <c r="O92" t="s">
        <v>254</v>
      </c>
      <c r="P92" t="s">
        <v>254</v>
      </c>
      <c r="Q92">
        <v>1</v>
      </c>
      <c r="W92">
        <v>0</v>
      </c>
      <c r="X92">
        <v>-1660354250</v>
      </c>
      <c r="Y92">
        <v>0.05</v>
      </c>
      <c r="AA92">
        <v>16.37</v>
      </c>
      <c r="AB92">
        <v>0</v>
      </c>
      <c r="AC92">
        <v>0</v>
      </c>
      <c r="AD92">
        <v>0</v>
      </c>
      <c r="AE92">
        <v>2.44</v>
      </c>
      <c r="AF92">
        <v>0</v>
      </c>
      <c r="AG92">
        <v>0</v>
      </c>
      <c r="AH92">
        <v>0</v>
      </c>
      <c r="AI92">
        <v>6.71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6</v>
      </c>
      <c r="AT92">
        <v>0.05</v>
      </c>
      <c r="AU92" t="s">
        <v>6</v>
      </c>
      <c r="AV92">
        <v>0</v>
      </c>
      <c r="AW92">
        <v>2</v>
      </c>
      <c r="AX92">
        <v>16810344</v>
      </c>
      <c r="AY92">
        <v>1</v>
      </c>
      <c r="AZ92">
        <v>0</v>
      </c>
      <c r="BA92">
        <v>97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Y92*Source!I88</f>
        <v>2.3305000000000003E-2</v>
      </c>
      <c r="CY92">
        <f>AA92</f>
        <v>16.37</v>
      </c>
      <c r="CZ92">
        <f>AE92</f>
        <v>2.44</v>
      </c>
      <c r="DA92">
        <f>AI92</f>
        <v>6.71</v>
      </c>
      <c r="DB92">
        <f t="shared" si="14"/>
        <v>0.12</v>
      </c>
      <c r="DC92">
        <f t="shared" si="15"/>
        <v>0</v>
      </c>
    </row>
    <row r="93" spans="1:107" x14ac:dyDescent="0.2">
      <c r="A93">
        <f>ROW(Source!A89)</f>
        <v>89</v>
      </c>
      <c r="B93">
        <v>16808636</v>
      </c>
      <c r="C93">
        <v>16810345</v>
      </c>
      <c r="D93">
        <v>15436556</v>
      </c>
      <c r="E93">
        <v>1</v>
      </c>
      <c r="F93">
        <v>1</v>
      </c>
      <c r="G93">
        <v>1</v>
      </c>
      <c r="H93">
        <v>1</v>
      </c>
      <c r="I93" t="s">
        <v>748</v>
      </c>
      <c r="J93" t="s">
        <v>6</v>
      </c>
      <c r="K93" t="s">
        <v>749</v>
      </c>
      <c r="L93">
        <v>1191</v>
      </c>
      <c r="N93">
        <v>1013</v>
      </c>
      <c r="O93" t="s">
        <v>708</v>
      </c>
      <c r="P93" t="s">
        <v>708</v>
      </c>
      <c r="Q93">
        <v>1</v>
      </c>
      <c r="W93">
        <v>0</v>
      </c>
      <c r="X93">
        <v>1069510174</v>
      </c>
      <c r="Y93">
        <v>9.0389999999999979</v>
      </c>
      <c r="AA93">
        <v>0</v>
      </c>
      <c r="AB93">
        <v>0</v>
      </c>
      <c r="AC93">
        <v>0</v>
      </c>
      <c r="AD93">
        <v>64.55</v>
      </c>
      <c r="AE93">
        <v>0</v>
      </c>
      <c r="AF93">
        <v>0</v>
      </c>
      <c r="AG93">
        <v>0</v>
      </c>
      <c r="AH93">
        <v>9.6199999999999992</v>
      </c>
      <c r="AI93">
        <v>1</v>
      </c>
      <c r="AJ93">
        <v>1</v>
      </c>
      <c r="AK93">
        <v>1</v>
      </c>
      <c r="AL93">
        <v>6.71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6</v>
      </c>
      <c r="AT93">
        <v>6.55</v>
      </c>
      <c r="AU93" t="s">
        <v>175</v>
      </c>
      <c r="AV93">
        <v>1</v>
      </c>
      <c r="AW93">
        <v>2</v>
      </c>
      <c r="AX93">
        <v>16810353</v>
      </c>
      <c r="AY93">
        <v>1</v>
      </c>
      <c r="AZ93">
        <v>0</v>
      </c>
      <c r="BA93">
        <v>98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Y93*Source!I89</f>
        <v>42.302519999999987</v>
      </c>
      <c r="CY93">
        <f>AD93</f>
        <v>64.55</v>
      </c>
      <c r="CZ93">
        <f>AH93</f>
        <v>9.6199999999999992</v>
      </c>
      <c r="DA93">
        <f>AL93</f>
        <v>6.71</v>
      </c>
      <c r="DB93">
        <f>ROUND(((ROUND(AT93*CZ93,2)*1.15)*1.2),2)</f>
        <v>86.95</v>
      </c>
      <c r="DC93">
        <f>ROUND(((ROUND(AT93*AG93,2)*1.15)*1.2),2)</f>
        <v>0</v>
      </c>
    </row>
    <row r="94" spans="1:107" x14ac:dyDescent="0.2">
      <c r="A94">
        <f>ROW(Source!A89)</f>
        <v>89</v>
      </c>
      <c r="B94">
        <v>16808636</v>
      </c>
      <c r="C94">
        <v>16810345</v>
      </c>
      <c r="D94">
        <v>15430395</v>
      </c>
      <c r="E94">
        <v>1</v>
      </c>
      <c r="F94">
        <v>1</v>
      </c>
      <c r="G94">
        <v>1</v>
      </c>
      <c r="H94">
        <v>1</v>
      </c>
      <c r="I94" t="s">
        <v>709</v>
      </c>
      <c r="J94" t="s">
        <v>6</v>
      </c>
      <c r="K94" t="s">
        <v>710</v>
      </c>
      <c r="L94">
        <v>1191</v>
      </c>
      <c r="N94">
        <v>1013</v>
      </c>
      <c r="O94" t="s">
        <v>708</v>
      </c>
      <c r="P94" t="s">
        <v>708</v>
      </c>
      <c r="Q94">
        <v>1</v>
      </c>
      <c r="W94">
        <v>0</v>
      </c>
      <c r="X94">
        <v>-1417349443</v>
      </c>
      <c r="Y94">
        <v>0.02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6.71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6</v>
      </c>
      <c r="AT94">
        <v>0.02</v>
      </c>
      <c r="AU94" t="s">
        <v>6</v>
      </c>
      <c r="AV94">
        <v>2</v>
      </c>
      <c r="AW94">
        <v>2</v>
      </c>
      <c r="AX94">
        <v>16810354</v>
      </c>
      <c r="AY94">
        <v>1</v>
      </c>
      <c r="AZ94">
        <v>2048</v>
      </c>
      <c r="BA94">
        <v>99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Y94*Source!I89</f>
        <v>9.3600000000000003E-2</v>
      </c>
      <c r="CY94">
        <f>AD94</f>
        <v>0</v>
      </c>
      <c r="CZ94">
        <f>AH94</f>
        <v>0</v>
      </c>
      <c r="DA94">
        <f>AL94</f>
        <v>1</v>
      </c>
      <c r="DB94">
        <f>ROUND(ROUND(AT94*CZ94,2),2)</f>
        <v>0</v>
      </c>
      <c r="DC94">
        <f>ROUND(ROUND(AT94*AG94,2),2)</f>
        <v>0</v>
      </c>
    </row>
    <row r="95" spans="1:107" x14ac:dyDescent="0.2">
      <c r="A95">
        <f>ROW(Source!A89)</f>
        <v>89</v>
      </c>
      <c r="B95">
        <v>16808636</v>
      </c>
      <c r="C95">
        <v>16810345</v>
      </c>
      <c r="D95">
        <v>15247974</v>
      </c>
      <c r="E95">
        <v>1</v>
      </c>
      <c r="F95">
        <v>1</v>
      </c>
      <c r="G95">
        <v>1</v>
      </c>
      <c r="H95">
        <v>2</v>
      </c>
      <c r="I95" t="s">
        <v>711</v>
      </c>
      <c r="J95" t="s">
        <v>712</v>
      </c>
      <c r="K95" t="s">
        <v>713</v>
      </c>
      <c r="L95">
        <v>1368</v>
      </c>
      <c r="N95">
        <v>1011</v>
      </c>
      <c r="O95" t="s">
        <v>714</v>
      </c>
      <c r="P95" t="s">
        <v>714</v>
      </c>
      <c r="Q95">
        <v>1</v>
      </c>
      <c r="W95">
        <v>0</v>
      </c>
      <c r="X95">
        <v>1188625873</v>
      </c>
      <c r="Y95">
        <v>1.4999999999999999E-2</v>
      </c>
      <c r="AA95">
        <v>0</v>
      </c>
      <c r="AB95">
        <v>209.75</v>
      </c>
      <c r="AC95">
        <v>13.5</v>
      </c>
      <c r="AD95">
        <v>0</v>
      </c>
      <c r="AE95">
        <v>0</v>
      </c>
      <c r="AF95">
        <v>31.26</v>
      </c>
      <c r="AG95">
        <v>13.5</v>
      </c>
      <c r="AH95">
        <v>0</v>
      </c>
      <c r="AI95">
        <v>1</v>
      </c>
      <c r="AJ95">
        <v>6.71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6</v>
      </c>
      <c r="AT95">
        <v>0.01</v>
      </c>
      <c r="AU95" t="s">
        <v>174</v>
      </c>
      <c r="AV95">
        <v>0</v>
      </c>
      <c r="AW95">
        <v>2</v>
      </c>
      <c r="AX95">
        <v>16810355</v>
      </c>
      <c r="AY95">
        <v>1</v>
      </c>
      <c r="AZ95">
        <v>0</v>
      </c>
      <c r="BA95">
        <v>100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Y95*Source!I89</f>
        <v>7.0199999999999999E-2</v>
      </c>
      <c r="CY95">
        <f>AB95</f>
        <v>209.75</v>
      </c>
      <c r="CZ95">
        <f>AF95</f>
        <v>31.26</v>
      </c>
      <c r="DA95">
        <f>AJ95</f>
        <v>6.71</v>
      </c>
      <c r="DB95">
        <f>ROUND(((ROUND(AT95*CZ95,2)*1.25)*1.2),2)</f>
        <v>0.47</v>
      </c>
      <c r="DC95">
        <f>ROUND(((ROUND(AT95*AG95,2)*1.25)*1.2),2)</f>
        <v>0.21</v>
      </c>
    </row>
    <row r="96" spans="1:107" x14ac:dyDescent="0.2">
      <c r="A96">
        <f>ROW(Source!A89)</f>
        <v>89</v>
      </c>
      <c r="B96">
        <v>16808636</v>
      </c>
      <c r="C96">
        <v>16810345</v>
      </c>
      <c r="D96">
        <v>15249073</v>
      </c>
      <c r="E96">
        <v>1</v>
      </c>
      <c r="F96">
        <v>1</v>
      </c>
      <c r="G96">
        <v>1</v>
      </c>
      <c r="H96">
        <v>2</v>
      </c>
      <c r="I96" t="s">
        <v>724</v>
      </c>
      <c r="J96" t="s">
        <v>725</v>
      </c>
      <c r="K96" t="s">
        <v>726</v>
      </c>
      <c r="L96">
        <v>1368</v>
      </c>
      <c r="N96">
        <v>1011</v>
      </c>
      <c r="O96" t="s">
        <v>714</v>
      </c>
      <c r="P96" t="s">
        <v>714</v>
      </c>
      <c r="Q96">
        <v>1</v>
      </c>
      <c r="W96">
        <v>0</v>
      </c>
      <c r="X96">
        <v>1372534845</v>
      </c>
      <c r="Y96">
        <v>1.4999999999999999E-2</v>
      </c>
      <c r="AA96">
        <v>0</v>
      </c>
      <c r="AB96">
        <v>440.91</v>
      </c>
      <c r="AC96">
        <v>11.6</v>
      </c>
      <c r="AD96">
        <v>0</v>
      </c>
      <c r="AE96">
        <v>0</v>
      </c>
      <c r="AF96">
        <v>65.709999999999994</v>
      </c>
      <c r="AG96">
        <v>11.6</v>
      </c>
      <c r="AH96">
        <v>0</v>
      </c>
      <c r="AI96">
        <v>1</v>
      </c>
      <c r="AJ96">
        <v>6.71</v>
      </c>
      <c r="AK96">
        <v>1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6</v>
      </c>
      <c r="AT96">
        <v>0.01</v>
      </c>
      <c r="AU96" t="s">
        <v>174</v>
      </c>
      <c r="AV96">
        <v>0</v>
      </c>
      <c r="AW96">
        <v>2</v>
      </c>
      <c r="AX96">
        <v>16810356</v>
      </c>
      <c r="AY96">
        <v>1</v>
      </c>
      <c r="AZ96">
        <v>0</v>
      </c>
      <c r="BA96">
        <v>101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Y96*Source!I89</f>
        <v>7.0199999999999999E-2</v>
      </c>
      <c r="CY96">
        <f>AB96</f>
        <v>440.91</v>
      </c>
      <c r="CZ96">
        <f>AF96</f>
        <v>65.709999999999994</v>
      </c>
      <c r="DA96">
        <f>AJ96</f>
        <v>6.71</v>
      </c>
      <c r="DB96">
        <f>ROUND(((ROUND(AT96*CZ96,2)*1.25)*1.2),2)</f>
        <v>0.99</v>
      </c>
      <c r="DC96">
        <f>ROUND(((ROUND(AT96*AG96,2)*1.25)*1.2),2)</f>
        <v>0.18</v>
      </c>
    </row>
    <row r="97" spans="1:107" x14ac:dyDescent="0.2">
      <c r="A97">
        <f>ROW(Source!A89)</f>
        <v>89</v>
      </c>
      <c r="B97">
        <v>16808636</v>
      </c>
      <c r="C97">
        <v>16810345</v>
      </c>
      <c r="D97">
        <v>15171018</v>
      </c>
      <c r="E97">
        <v>1</v>
      </c>
      <c r="F97">
        <v>1</v>
      </c>
      <c r="G97">
        <v>1</v>
      </c>
      <c r="H97">
        <v>3</v>
      </c>
      <c r="I97" t="s">
        <v>833</v>
      </c>
      <c r="J97" t="s">
        <v>834</v>
      </c>
      <c r="K97" t="s">
        <v>835</v>
      </c>
      <c r="L97">
        <v>1346</v>
      </c>
      <c r="N97">
        <v>1009</v>
      </c>
      <c r="O97" t="s">
        <v>300</v>
      </c>
      <c r="P97" t="s">
        <v>300</v>
      </c>
      <c r="Q97">
        <v>1</v>
      </c>
      <c r="W97">
        <v>0</v>
      </c>
      <c r="X97">
        <v>813963326</v>
      </c>
      <c r="Y97">
        <v>0.1</v>
      </c>
      <c r="AA97">
        <v>12.21</v>
      </c>
      <c r="AB97">
        <v>0</v>
      </c>
      <c r="AC97">
        <v>0</v>
      </c>
      <c r="AD97">
        <v>0</v>
      </c>
      <c r="AE97">
        <v>1.82</v>
      </c>
      <c r="AF97">
        <v>0</v>
      </c>
      <c r="AG97">
        <v>0</v>
      </c>
      <c r="AH97">
        <v>0</v>
      </c>
      <c r="AI97">
        <v>6.71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6</v>
      </c>
      <c r="AT97">
        <v>0.1</v>
      </c>
      <c r="AU97" t="s">
        <v>6</v>
      </c>
      <c r="AV97">
        <v>0</v>
      </c>
      <c r="AW97">
        <v>2</v>
      </c>
      <c r="AX97">
        <v>16810357</v>
      </c>
      <c r="AY97">
        <v>1</v>
      </c>
      <c r="AZ97">
        <v>0</v>
      </c>
      <c r="BA97">
        <v>102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Y97*Source!I89</f>
        <v>0.46799999999999997</v>
      </c>
      <c r="CY97">
        <f>AA97</f>
        <v>12.21</v>
      </c>
      <c r="CZ97">
        <f>AE97</f>
        <v>1.82</v>
      </c>
      <c r="DA97">
        <f>AI97</f>
        <v>6.71</v>
      </c>
      <c r="DB97">
        <f t="shared" ref="DB97:DB125" si="16">ROUND(ROUND(AT97*CZ97,2),2)</f>
        <v>0.18</v>
      </c>
      <c r="DC97">
        <f t="shared" ref="DC97:DC125" si="17">ROUND(ROUND(AT97*AG97,2),2)</f>
        <v>0</v>
      </c>
    </row>
    <row r="98" spans="1:107" x14ac:dyDescent="0.2">
      <c r="A98">
        <f>ROW(Source!A89)</f>
        <v>89</v>
      </c>
      <c r="B98">
        <v>16808636</v>
      </c>
      <c r="C98">
        <v>16810345</v>
      </c>
      <c r="D98">
        <v>15203487</v>
      </c>
      <c r="E98">
        <v>1</v>
      </c>
      <c r="F98">
        <v>1</v>
      </c>
      <c r="G98">
        <v>1</v>
      </c>
      <c r="H98">
        <v>3</v>
      </c>
      <c r="I98" t="s">
        <v>229</v>
      </c>
      <c r="J98" t="s">
        <v>231</v>
      </c>
      <c r="K98" t="s">
        <v>230</v>
      </c>
      <c r="L98">
        <v>1348</v>
      </c>
      <c r="N98">
        <v>1009</v>
      </c>
      <c r="O98" t="s">
        <v>104</v>
      </c>
      <c r="P98" t="s">
        <v>104</v>
      </c>
      <c r="Q98">
        <v>1000</v>
      </c>
      <c r="W98">
        <v>0</v>
      </c>
      <c r="X98">
        <v>-1643184550</v>
      </c>
      <c r="Y98">
        <v>1.2999999999999999E-2</v>
      </c>
      <c r="AA98">
        <v>205020.16</v>
      </c>
      <c r="AB98">
        <v>0</v>
      </c>
      <c r="AC98">
        <v>0</v>
      </c>
      <c r="AD98">
        <v>0</v>
      </c>
      <c r="AE98">
        <v>30554.42</v>
      </c>
      <c r="AF98">
        <v>0</v>
      </c>
      <c r="AG98">
        <v>0</v>
      </c>
      <c r="AH98">
        <v>0</v>
      </c>
      <c r="AI98">
        <v>6.71</v>
      </c>
      <c r="AJ98">
        <v>1</v>
      </c>
      <c r="AK98">
        <v>1</v>
      </c>
      <c r="AL98">
        <v>1</v>
      </c>
      <c r="AN98">
        <v>0</v>
      </c>
      <c r="AO98">
        <v>0</v>
      </c>
      <c r="AP98">
        <v>0</v>
      </c>
      <c r="AQ98">
        <v>0</v>
      </c>
      <c r="AR98">
        <v>0</v>
      </c>
      <c r="AS98" t="s">
        <v>6</v>
      </c>
      <c r="AT98">
        <v>1.2999999999999999E-2</v>
      </c>
      <c r="AU98" t="s">
        <v>6</v>
      </c>
      <c r="AV98">
        <v>0</v>
      </c>
      <c r="AW98">
        <v>1</v>
      </c>
      <c r="AX98">
        <v>-1</v>
      </c>
      <c r="AY98">
        <v>0</v>
      </c>
      <c r="AZ98">
        <v>0</v>
      </c>
      <c r="BA98" t="s">
        <v>6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Y98*Source!I89</f>
        <v>6.0839999999999991E-2</v>
      </c>
      <c r="CY98">
        <f>AA98</f>
        <v>205020.16</v>
      </c>
      <c r="CZ98">
        <f>AE98</f>
        <v>30554.42</v>
      </c>
      <c r="DA98">
        <f>AI98</f>
        <v>6.71</v>
      </c>
      <c r="DB98">
        <f t="shared" si="16"/>
        <v>397.21</v>
      </c>
      <c r="DC98">
        <f t="shared" si="17"/>
        <v>0</v>
      </c>
    </row>
    <row r="99" spans="1:107" x14ac:dyDescent="0.2">
      <c r="A99">
        <f>ROW(Source!A89)</f>
        <v>89</v>
      </c>
      <c r="B99">
        <v>16808636</v>
      </c>
      <c r="C99">
        <v>16810345</v>
      </c>
      <c r="D99">
        <v>15162572</v>
      </c>
      <c r="E99">
        <v>17</v>
      </c>
      <c r="F99">
        <v>1</v>
      </c>
      <c r="G99">
        <v>1</v>
      </c>
      <c r="H99">
        <v>3</v>
      </c>
      <c r="I99" t="s">
        <v>226</v>
      </c>
      <c r="J99" t="s">
        <v>6</v>
      </c>
      <c r="K99" t="s">
        <v>227</v>
      </c>
      <c r="L99">
        <v>1348</v>
      </c>
      <c r="N99">
        <v>1009</v>
      </c>
      <c r="O99" t="s">
        <v>104</v>
      </c>
      <c r="P99" t="s">
        <v>104</v>
      </c>
      <c r="Q99">
        <v>1000</v>
      </c>
      <c r="W99">
        <v>0</v>
      </c>
      <c r="X99">
        <v>-1212923053</v>
      </c>
      <c r="Y99">
        <v>1.2999999999999999E-2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6.71</v>
      </c>
      <c r="AJ99">
        <v>1</v>
      </c>
      <c r="AK99">
        <v>1</v>
      </c>
      <c r="AL99">
        <v>1</v>
      </c>
      <c r="AN99">
        <v>0</v>
      </c>
      <c r="AO99">
        <v>0</v>
      </c>
      <c r="AP99">
        <v>0</v>
      </c>
      <c r="AQ99">
        <v>0</v>
      </c>
      <c r="AR99">
        <v>0</v>
      </c>
      <c r="AS99" t="s">
        <v>6</v>
      </c>
      <c r="AT99">
        <v>1.2999999999999999E-2</v>
      </c>
      <c r="AU99" t="s">
        <v>6</v>
      </c>
      <c r="AV99">
        <v>0</v>
      </c>
      <c r="AW99">
        <v>2</v>
      </c>
      <c r="AX99">
        <v>16810358</v>
      </c>
      <c r="AY99">
        <v>1</v>
      </c>
      <c r="AZ99">
        <v>0</v>
      </c>
      <c r="BA99">
        <v>103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Y99*Source!I89</f>
        <v>6.0839999999999991E-2</v>
      </c>
      <c r="CY99">
        <f>AA99</f>
        <v>0</v>
      </c>
      <c r="CZ99">
        <f>AE99</f>
        <v>0</v>
      </c>
      <c r="DA99">
        <f>AI99</f>
        <v>6.71</v>
      </c>
      <c r="DB99">
        <f t="shared" si="16"/>
        <v>0</v>
      </c>
      <c r="DC99">
        <f t="shared" si="17"/>
        <v>0</v>
      </c>
    </row>
    <row r="100" spans="1:107" x14ac:dyDescent="0.2">
      <c r="A100">
        <f>ROW(Source!A92)</f>
        <v>92</v>
      </c>
      <c r="B100">
        <v>16808636</v>
      </c>
      <c r="C100">
        <v>16810689</v>
      </c>
      <c r="D100">
        <v>15435099</v>
      </c>
      <c r="E100">
        <v>1</v>
      </c>
      <c r="F100">
        <v>1</v>
      </c>
      <c r="G100">
        <v>1</v>
      </c>
      <c r="H100">
        <v>1</v>
      </c>
      <c r="I100" t="s">
        <v>836</v>
      </c>
      <c r="J100" t="s">
        <v>6</v>
      </c>
      <c r="K100" t="s">
        <v>837</v>
      </c>
      <c r="L100">
        <v>1191</v>
      </c>
      <c r="N100">
        <v>1013</v>
      </c>
      <c r="O100" t="s">
        <v>708</v>
      </c>
      <c r="P100" t="s">
        <v>708</v>
      </c>
      <c r="Q100">
        <v>1</v>
      </c>
      <c r="W100">
        <v>0</v>
      </c>
      <c r="X100">
        <v>1010519658</v>
      </c>
      <c r="Y100">
        <v>33.78</v>
      </c>
      <c r="AA100">
        <v>0</v>
      </c>
      <c r="AB100">
        <v>0</v>
      </c>
      <c r="AC100">
        <v>0</v>
      </c>
      <c r="AD100">
        <v>57.97</v>
      </c>
      <c r="AE100">
        <v>0</v>
      </c>
      <c r="AF100">
        <v>0</v>
      </c>
      <c r="AG100">
        <v>0</v>
      </c>
      <c r="AH100">
        <v>8.64</v>
      </c>
      <c r="AI100">
        <v>1</v>
      </c>
      <c r="AJ100">
        <v>1</v>
      </c>
      <c r="AK100">
        <v>1</v>
      </c>
      <c r="AL100">
        <v>6.71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6</v>
      </c>
      <c r="AT100">
        <v>33.78</v>
      </c>
      <c r="AU100" t="s">
        <v>6</v>
      </c>
      <c r="AV100">
        <v>1</v>
      </c>
      <c r="AW100">
        <v>2</v>
      </c>
      <c r="AX100">
        <v>16810690</v>
      </c>
      <c r="AY100">
        <v>1</v>
      </c>
      <c r="AZ100">
        <v>0</v>
      </c>
      <c r="BA100">
        <v>104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Y100*Source!I92</f>
        <v>56.176140000000004</v>
      </c>
      <c r="CY100">
        <f>AD100</f>
        <v>57.97</v>
      </c>
      <c r="CZ100">
        <f>AH100</f>
        <v>8.64</v>
      </c>
      <c r="DA100">
        <f>AL100</f>
        <v>6.71</v>
      </c>
      <c r="DB100">
        <f t="shared" si="16"/>
        <v>291.86</v>
      </c>
      <c r="DC100">
        <f t="shared" si="17"/>
        <v>0</v>
      </c>
    </row>
    <row r="101" spans="1:107" x14ac:dyDescent="0.2">
      <c r="A101">
        <f>ROW(Source!A92)</f>
        <v>92</v>
      </c>
      <c r="B101">
        <v>16808636</v>
      </c>
      <c r="C101">
        <v>16810689</v>
      </c>
      <c r="D101">
        <v>15430395</v>
      </c>
      <c r="E101">
        <v>1</v>
      </c>
      <c r="F101">
        <v>1</v>
      </c>
      <c r="G101">
        <v>1</v>
      </c>
      <c r="H101">
        <v>1</v>
      </c>
      <c r="I101" t="s">
        <v>709</v>
      </c>
      <c r="J101" t="s">
        <v>6</v>
      </c>
      <c r="K101" t="s">
        <v>710</v>
      </c>
      <c r="L101">
        <v>1191</v>
      </c>
      <c r="N101">
        <v>1013</v>
      </c>
      <c r="O101" t="s">
        <v>708</v>
      </c>
      <c r="P101" t="s">
        <v>708</v>
      </c>
      <c r="Q101">
        <v>1</v>
      </c>
      <c r="W101">
        <v>0</v>
      </c>
      <c r="X101">
        <v>-1417349443</v>
      </c>
      <c r="Y101">
        <v>0.16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1</v>
      </c>
      <c r="AJ101">
        <v>1</v>
      </c>
      <c r="AK101">
        <v>6.71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6</v>
      </c>
      <c r="AT101">
        <v>0.16</v>
      </c>
      <c r="AU101" t="s">
        <v>6</v>
      </c>
      <c r="AV101">
        <v>2</v>
      </c>
      <c r="AW101">
        <v>2</v>
      </c>
      <c r="AX101">
        <v>16810691</v>
      </c>
      <c r="AY101">
        <v>1</v>
      </c>
      <c r="AZ101">
        <v>0</v>
      </c>
      <c r="BA101">
        <v>105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Y101*Source!I92</f>
        <v>0.26607999999999998</v>
      </c>
      <c r="CY101">
        <f>AD101</f>
        <v>0</v>
      </c>
      <c r="CZ101">
        <f>AH101</f>
        <v>0</v>
      </c>
      <c r="DA101">
        <f>AL101</f>
        <v>1</v>
      </c>
      <c r="DB101">
        <f t="shared" si="16"/>
        <v>0</v>
      </c>
      <c r="DC101">
        <f t="shared" si="17"/>
        <v>0</v>
      </c>
    </row>
    <row r="102" spans="1:107" x14ac:dyDescent="0.2">
      <c r="A102">
        <f>ROW(Source!A92)</f>
        <v>92</v>
      </c>
      <c r="B102">
        <v>16808636</v>
      </c>
      <c r="C102">
        <v>16810689</v>
      </c>
      <c r="D102">
        <v>15247974</v>
      </c>
      <c r="E102">
        <v>1</v>
      </c>
      <c r="F102">
        <v>1</v>
      </c>
      <c r="G102">
        <v>1</v>
      </c>
      <c r="H102">
        <v>2</v>
      </c>
      <c r="I102" t="s">
        <v>711</v>
      </c>
      <c r="J102" t="s">
        <v>712</v>
      </c>
      <c r="K102" t="s">
        <v>713</v>
      </c>
      <c r="L102">
        <v>1368</v>
      </c>
      <c r="N102">
        <v>1011</v>
      </c>
      <c r="O102" t="s">
        <v>714</v>
      </c>
      <c r="P102" t="s">
        <v>714</v>
      </c>
      <c r="Q102">
        <v>1</v>
      </c>
      <c r="W102">
        <v>0</v>
      </c>
      <c r="X102">
        <v>1188625873</v>
      </c>
      <c r="Y102">
        <v>0.1</v>
      </c>
      <c r="AA102">
        <v>0</v>
      </c>
      <c r="AB102">
        <v>209.75</v>
      </c>
      <c r="AC102">
        <v>13.5</v>
      </c>
      <c r="AD102">
        <v>0</v>
      </c>
      <c r="AE102">
        <v>0</v>
      </c>
      <c r="AF102">
        <v>31.26</v>
      </c>
      <c r="AG102">
        <v>13.5</v>
      </c>
      <c r="AH102">
        <v>0</v>
      </c>
      <c r="AI102">
        <v>1</v>
      </c>
      <c r="AJ102">
        <v>6.71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6</v>
      </c>
      <c r="AT102">
        <v>0.1</v>
      </c>
      <c r="AU102" t="s">
        <v>6</v>
      </c>
      <c r="AV102">
        <v>0</v>
      </c>
      <c r="AW102">
        <v>2</v>
      </c>
      <c r="AX102">
        <v>16810692</v>
      </c>
      <c r="AY102">
        <v>1</v>
      </c>
      <c r="AZ102">
        <v>0</v>
      </c>
      <c r="BA102">
        <v>106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Y102*Source!I92</f>
        <v>0.1663</v>
      </c>
      <c r="CY102">
        <f>AB102</f>
        <v>209.75</v>
      </c>
      <c r="CZ102">
        <f>AF102</f>
        <v>31.26</v>
      </c>
      <c r="DA102">
        <f>AJ102</f>
        <v>6.71</v>
      </c>
      <c r="DB102">
        <f t="shared" si="16"/>
        <v>3.13</v>
      </c>
      <c r="DC102">
        <f t="shared" si="17"/>
        <v>1.35</v>
      </c>
    </row>
    <row r="103" spans="1:107" x14ac:dyDescent="0.2">
      <c r="A103">
        <f>ROW(Source!A92)</f>
        <v>92</v>
      </c>
      <c r="B103">
        <v>16808636</v>
      </c>
      <c r="C103">
        <v>16810689</v>
      </c>
      <c r="D103">
        <v>15249073</v>
      </c>
      <c r="E103">
        <v>1</v>
      </c>
      <c r="F103">
        <v>1</v>
      </c>
      <c r="G103">
        <v>1</v>
      </c>
      <c r="H103">
        <v>2</v>
      </c>
      <c r="I103" t="s">
        <v>724</v>
      </c>
      <c r="J103" t="s">
        <v>725</v>
      </c>
      <c r="K103" t="s">
        <v>726</v>
      </c>
      <c r="L103">
        <v>1368</v>
      </c>
      <c r="N103">
        <v>1011</v>
      </c>
      <c r="O103" t="s">
        <v>714</v>
      </c>
      <c r="P103" t="s">
        <v>714</v>
      </c>
      <c r="Q103">
        <v>1</v>
      </c>
      <c r="W103">
        <v>0</v>
      </c>
      <c r="X103">
        <v>1372534845</v>
      </c>
      <c r="Y103">
        <v>0.06</v>
      </c>
      <c r="AA103">
        <v>0</v>
      </c>
      <c r="AB103">
        <v>440.91</v>
      </c>
      <c r="AC103">
        <v>11.6</v>
      </c>
      <c r="AD103">
        <v>0</v>
      </c>
      <c r="AE103">
        <v>0</v>
      </c>
      <c r="AF103">
        <v>65.709999999999994</v>
      </c>
      <c r="AG103">
        <v>11.6</v>
      </c>
      <c r="AH103">
        <v>0</v>
      </c>
      <c r="AI103">
        <v>1</v>
      </c>
      <c r="AJ103">
        <v>6.71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6</v>
      </c>
      <c r="AT103">
        <v>0.06</v>
      </c>
      <c r="AU103" t="s">
        <v>6</v>
      </c>
      <c r="AV103">
        <v>0</v>
      </c>
      <c r="AW103">
        <v>2</v>
      </c>
      <c r="AX103">
        <v>16810693</v>
      </c>
      <c r="AY103">
        <v>1</v>
      </c>
      <c r="AZ103">
        <v>0</v>
      </c>
      <c r="BA103">
        <v>107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Y103*Source!I92</f>
        <v>9.9779999999999994E-2</v>
      </c>
      <c r="CY103">
        <f>AB103</f>
        <v>440.91</v>
      </c>
      <c r="CZ103">
        <f>AF103</f>
        <v>65.709999999999994</v>
      </c>
      <c r="DA103">
        <f>AJ103</f>
        <v>6.71</v>
      </c>
      <c r="DB103">
        <f t="shared" si="16"/>
        <v>3.94</v>
      </c>
      <c r="DC103">
        <f t="shared" si="17"/>
        <v>0.7</v>
      </c>
    </row>
    <row r="104" spans="1:107" x14ac:dyDescent="0.2">
      <c r="A104">
        <f>ROW(Source!A92)</f>
        <v>92</v>
      </c>
      <c r="B104">
        <v>16808636</v>
      </c>
      <c r="C104">
        <v>16810689</v>
      </c>
      <c r="D104">
        <v>15167286</v>
      </c>
      <c r="E104">
        <v>1</v>
      </c>
      <c r="F104">
        <v>1</v>
      </c>
      <c r="G104">
        <v>1</v>
      </c>
      <c r="H104">
        <v>3</v>
      </c>
      <c r="I104" t="s">
        <v>781</v>
      </c>
      <c r="J104" t="s">
        <v>782</v>
      </c>
      <c r="K104" t="s">
        <v>783</v>
      </c>
      <c r="L104">
        <v>1339</v>
      </c>
      <c r="N104">
        <v>1007</v>
      </c>
      <c r="O104" t="s">
        <v>254</v>
      </c>
      <c r="P104" t="s">
        <v>254</v>
      </c>
      <c r="Q104">
        <v>1</v>
      </c>
      <c r="W104">
        <v>0</v>
      </c>
      <c r="X104">
        <v>-1660354250</v>
      </c>
      <c r="Y104">
        <v>0.24</v>
      </c>
      <c r="AA104">
        <v>16.37</v>
      </c>
      <c r="AB104">
        <v>0</v>
      </c>
      <c r="AC104">
        <v>0</v>
      </c>
      <c r="AD104">
        <v>0</v>
      </c>
      <c r="AE104">
        <v>2.44</v>
      </c>
      <c r="AF104">
        <v>0</v>
      </c>
      <c r="AG104">
        <v>0</v>
      </c>
      <c r="AH104">
        <v>0</v>
      </c>
      <c r="AI104">
        <v>6.71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6</v>
      </c>
      <c r="AT104">
        <v>0.24</v>
      </c>
      <c r="AU104" t="s">
        <v>6</v>
      </c>
      <c r="AV104">
        <v>0</v>
      </c>
      <c r="AW104">
        <v>2</v>
      </c>
      <c r="AX104">
        <v>16810694</v>
      </c>
      <c r="AY104">
        <v>1</v>
      </c>
      <c r="AZ104">
        <v>0</v>
      </c>
      <c r="BA104">
        <v>108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Y104*Source!I92</f>
        <v>0.39911999999999997</v>
      </c>
      <c r="CY104">
        <f t="shared" ref="CY104:CY112" si="18">AA104</f>
        <v>16.37</v>
      </c>
      <c r="CZ104">
        <f t="shared" ref="CZ104:CZ112" si="19">AE104</f>
        <v>2.44</v>
      </c>
      <c r="DA104">
        <f t="shared" ref="DA104:DA112" si="20">AI104</f>
        <v>6.71</v>
      </c>
      <c r="DB104">
        <f t="shared" si="16"/>
        <v>0.59</v>
      </c>
      <c r="DC104">
        <f t="shared" si="17"/>
        <v>0</v>
      </c>
    </row>
    <row r="105" spans="1:107" x14ac:dyDescent="0.2">
      <c r="A105">
        <f>ROW(Source!A92)</f>
        <v>92</v>
      </c>
      <c r="B105">
        <v>16808636</v>
      </c>
      <c r="C105">
        <v>16810689</v>
      </c>
      <c r="D105">
        <v>15167766</v>
      </c>
      <c r="E105">
        <v>1</v>
      </c>
      <c r="F105">
        <v>1</v>
      </c>
      <c r="G105">
        <v>1</v>
      </c>
      <c r="H105">
        <v>3</v>
      </c>
      <c r="I105" t="s">
        <v>838</v>
      </c>
      <c r="J105" t="s">
        <v>839</v>
      </c>
      <c r="K105" t="s">
        <v>840</v>
      </c>
      <c r="L105">
        <v>1354</v>
      </c>
      <c r="N105">
        <v>1010</v>
      </c>
      <c r="O105" t="s">
        <v>350</v>
      </c>
      <c r="P105" t="s">
        <v>350</v>
      </c>
      <c r="Q105">
        <v>1</v>
      </c>
      <c r="W105">
        <v>0</v>
      </c>
      <c r="X105">
        <v>-1046673864</v>
      </c>
      <c r="Y105">
        <v>5.0999999999999996</v>
      </c>
      <c r="AA105">
        <v>30.2</v>
      </c>
      <c r="AB105">
        <v>0</v>
      </c>
      <c r="AC105">
        <v>0</v>
      </c>
      <c r="AD105">
        <v>0</v>
      </c>
      <c r="AE105">
        <v>4.5</v>
      </c>
      <c r="AF105">
        <v>0</v>
      </c>
      <c r="AG105">
        <v>0</v>
      </c>
      <c r="AH105">
        <v>0</v>
      </c>
      <c r="AI105">
        <v>6.71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6</v>
      </c>
      <c r="AT105">
        <v>5.0999999999999996</v>
      </c>
      <c r="AU105" t="s">
        <v>6</v>
      </c>
      <c r="AV105">
        <v>0</v>
      </c>
      <c r="AW105">
        <v>2</v>
      </c>
      <c r="AX105">
        <v>16810695</v>
      </c>
      <c r="AY105">
        <v>1</v>
      </c>
      <c r="AZ105">
        <v>0</v>
      </c>
      <c r="BA105">
        <v>109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Y105*Source!I92</f>
        <v>8.4812999999999992</v>
      </c>
      <c r="CY105">
        <f t="shared" si="18"/>
        <v>30.2</v>
      </c>
      <c r="CZ105">
        <f t="shared" si="19"/>
        <v>4.5</v>
      </c>
      <c r="DA105">
        <f t="shared" si="20"/>
        <v>6.71</v>
      </c>
      <c r="DB105">
        <f t="shared" si="16"/>
        <v>22.95</v>
      </c>
      <c r="DC105">
        <f t="shared" si="17"/>
        <v>0</v>
      </c>
    </row>
    <row r="106" spans="1:107" x14ac:dyDescent="0.2">
      <c r="A106">
        <f>ROW(Source!A92)</f>
        <v>92</v>
      </c>
      <c r="B106">
        <v>16808636</v>
      </c>
      <c r="C106">
        <v>16810689</v>
      </c>
      <c r="D106">
        <v>15168015</v>
      </c>
      <c r="E106">
        <v>1</v>
      </c>
      <c r="F106">
        <v>1</v>
      </c>
      <c r="G106">
        <v>1</v>
      </c>
      <c r="H106">
        <v>3</v>
      </c>
      <c r="I106" t="s">
        <v>841</v>
      </c>
      <c r="J106" t="s">
        <v>842</v>
      </c>
      <c r="K106" t="s">
        <v>843</v>
      </c>
      <c r="L106">
        <v>1348</v>
      </c>
      <c r="N106">
        <v>1009</v>
      </c>
      <c r="O106" t="s">
        <v>104</v>
      </c>
      <c r="P106" t="s">
        <v>104</v>
      </c>
      <c r="Q106">
        <v>1000</v>
      </c>
      <c r="W106">
        <v>0</v>
      </c>
      <c r="X106">
        <v>-526970962</v>
      </c>
      <c r="Y106">
        <v>2.5499999999999998E-2</v>
      </c>
      <c r="AA106">
        <v>3935.21</v>
      </c>
      <c r="AB106">
        <v>0</v>
      </c>
      <c r="AC106">
        <v>0</v>
      </c>
      <c r="AD106">
        <v>0</v>
      </c>
      <c r="AE106">
        <v>586.47</v>
      </c>
      <c r="AF106">
        <v>0</v>
      </c>
      <c r="AG106">
        <v>0</v>
      </c>
      <c r="AH106">
        <v>0</v>
      </c>
      <c r="AI106">
        <v>6.71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6</v>
      </c>
      <c r="AT106">
        <v>2.5499999999999998E-2</v>
      </c>
      <c r="AU106" t="s">
        <v>6</v>
      </c>
      <c r="AV106">
        <v>0</v>
      </c>
      <c r="AW106">
        <v>2</v>
      </c>
      <c r="AX106">
        <v>16810696</v>
      </c>
      <c r="AY106">
        <v>1</v>
      </c>
      <c r="AZ106">
        <v>0</v>
      </c>
      <c r="BA106">
        <v>110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Y106*Source!I92</f>
        <v>4.24065E-2</v>
      </c>
      <c r="CY106">
        <f t="shared" si="18"/>
        <v>3935.21</v>
      </c>
      <c r="CZ106">
        <f t="shared" si="19"/>
        <v>586.47</v>
      </c>
      <c r="DA106">
        <f t="shared" si="20"/>
        <v>6.71</v>
      </c>
      <c r="DB106">
        <f t="shared" si="16"/>
        <v>14.95</v>
      </c>
      <c r="DC106">
        <f t="shared" si="17"/>
        <v>0</v>
      </c>
    </row>
    <row r="107" spans="1:107" x14ac:dyDescent="0.2">
      <c r="A107">
        <f>ROW(Source!A92)</f>
        <v>92</v>
      </c>
      <c r="B107">
        <v>16808636</v>
      </c>
      <c r="C107">
        <v>16810689</v>
      </c>
      <c r="D107">
        <v>15170682</v>
      </c>
      <c r="E107">
        <v>1</v>
      </c>
      <c r="F107">
        <v>1</v>
      </c>
      <c r="G107">
        <v>1</v>
      </c>
      <c r="H107">
        <v>3</v>
      </c>
      <c r="I107" t="s">
        <v>844</v>
      </c>
      <c r="J107" t="s">
        <v>845</v>
      </c>
      <c r="K107" t="s">
        <v>846</v>
      </c>
      <c r="L107">
        <v>1327</v>
      </c>
      <c r="N107">
        <v>1005</v>
      </c>
      <c r="O107" t="s">
        <v>190</v>
      </c>
      <c r="P107" t="s">
        <v>190</v>
      </c>
      <c r="Q107">
        <v>1</v>
      </c>
      <c r="W107">
        <v>0</v>
      </c>
      <c r="X107">
        <v>-1987926685</v>
      </c>
      <c r="Y107">
        <v>1.6</v>
      </c>
      <c r="AA107">
        <v>485.27</v>
      </c>
      <c r="AB107">
        <v>0</v>
      </c>
      <c r="AC107">
        <v>0</v>
      </c>
      <c r="AD107">
        <v>0</v>
      </c>
      <c r="AE107">
        <v>72.319999999999993</v>
      </c>
      <c r="AF107">
        <v>0</v>
      </c>
      <c r="AG107">
        <v>0</v>
      </c>
      <c r="AH107">
        <v>0</v>
      </c>
      <c r="AI107">
        <v>6.71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6</v>
      </c>
      <c r="AT107">
        <v>1.6</v>
      </c>
      <c r="AU107" t="s">
        <v>6</v>
      </c>
      <c r="AV107">
        <v>0</v>
      </c>
      <c r="AW107">
        <v>2</v>
      </c>
      <c r="AX107">
        <v>16810697</v>
      </c>
      <c r="AY107">
        <v>1</v>
      </c>
      <c r="AZ107">
        <v>0</v>
      </c>
      <c r="BA107">
        <v>111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Y107*Source!I92</f>
        <v>2.6608000000000001</v>
      </c>
      <c r="CY107">
        <f t="shared" si="18"/>
        <v>485.27</v>
      </c>
      <c r="CZ107">
        <f t="shared" si="19"/>
        <v>72.319999999999993</v>
      </c>
      <c r="DA107">
        <f t="shared" si="20"/>
        <v>6.71</v>
      </c>
      <c r="DB107">
        <f t="shared" si="16"/>
        <v>115.71</v>
      </c>
      <c r="DC107">
        <f t="shared" si="17"/>
        <v>0</v>
      </c>
    </row>
    <row r="108" spans="1:107" x14ac:dyDescent="0.2">
      <c r="A108">
        <f>ROW(Source!A92)</f>
        <v>92</v>
      </c>
      <c r="B108">
        <v>16808636</v>
      </c>
      <c r="C108">
        <v>16810689</v>
      </c>
      <c r="D108">
        <v>15171907</v>
      </c>
      <c r="E108">
        <v>1</v>
      </c>
      <c r="F108">
        <v>1</v>
      </c>
      <c r="G108">
        <v>1</v>
      </c>
      <c r="H108">
        <v>3</v>
      </c>
      <c r="I108" t="s">
        <v>847</v>
      </c>
      <c r="J108" t="s">
        <v>848</v>
      </c>
      <c r="K108" t="s">
        <v>849</v>
      </c>
      <c r="L108">
        <v>1339</v>
      </c>
      <c r="N108">
        <v>1007</v>
      </c>
      <c r="O108" t="s">
        <v>254</v>
      </c>
      <c r="P108" t="s">
        <v>254</v>
      </c>
      <c r="Q108">
        <v>1</v>
      </c>
      <c r="W108">
        <v>0</v>
      </c>
      <c r="X108">
        <v>1795918813</v>
      </c>
      <c r="Y108">
        <v>4.4000000000000003E-3</v>
      </c>
      <c r="AA108">
        <v>500.43</v>
      </c>
      <c r="AB108">
        <v>0</v>
      </c>
      <c r="AC108">
        <v>0</v>
      </c>
      <c r="AD108">
        <v>0</v>
      </c>
      <c r="AE108">
        <v>74.58</v>
      </c>
      <c r="AF108">
        <v>0</v>
      </c>
      <c r="AG108">
        <v>0</v>
      </c>
      <c r="AH108">
        <v>0</v>
      </c>
      <c r="AI108">
        <v>6.71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6</v>
      </c>
      <c r="AT108">
        <v>4.4000000000000003E-3</v>
      </c>
      <c r="AU108" t="s">
        <v>6</v>
      </c>
      <c r="AV108">
        <v>0</v>
      </c>
      <c r="AW108">
        <v>2</v>
      </c>
      <c r="AX108">
        <v>16810698</v>
      </c>
      <c r="AY108">
        <v>1</v>
      </c>
      <c r="AZ108">
        <v>0</v>
      </c>
      <c r="BA108">
        <v>112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Y108*Source!I92</f>
        <v>7.3172000000000003E-3</v>
      </c>
      <c r="CY108">
        <f t="shared" si="18"/>
        <v>500.43</v>
      </c>
      <c r="CZ108">
        <f t="shared" si="19"/>
        <v>74.58</v>
      </c>
      <c r="DA108">
        <f t="shared" si="20"/>
        <v>6.71</v>
      </c>
      <c r="DB108">
        <f t="shared" si="16"/>
        <v>0.33</v>
      </c>
      <c r="DC108">
        <f t="shared" si="17"/>
        <v>0</v>
      </c>
    </row>
    <row r="109" spans="1:107" x14ac:dyDescent="0.2">
      <c r="A109">
        <f>ROW(Source!A92)</f>
        <v>92</v>
      </c>
      <c r="B109">
        <v>16808636</v>
      </c>
      <c r="C109">
        <v>16810689</v>
      </c>
      <c r="D109">
        <v>15202490</v>
      </c>
      <c r="E109">
        <v>1</v>
      </c>
      <c r="F109">
        <v>1</v>
      </c>
      <c r="G109">
        <v>1</v>
      </c>
      <c r="H109">
        <v>3</v>
      </c>
      <c r="I109" t="s">
        <v>850</v>
      </c>
      <c r="J109" t="s">
        <v>851</v>
      </c>
      <c r="K109" t="s">
        <v>852</v>
      </c>
      <c r="L109">
        <v>1346</v>
      </c>
      <c r="N109">
        <v>1009</v>
      </c>
      <c r="O109" t="s">
        <v>300</v>
      </c>
      <c r="P109" t="s">
        <v>300</v>
      </c>
      <c r="Q109">
        <v>1</v>
      </c>
      <c r="W109">
        <v>0</v>
      </c>
      <c r="X109">
        <v>-1684093315</v>
      </c>
      <c r="Y109">
        <v>4.0199999999999996</v>
      </c>
      <c r="AA109">
        <v>54.28</v>
      </c>
      <c r="AB109">
        <v>0</v>
      </c>
      <c r="AC109">
        <v>0</v>
      </c>
      <c r="AD109">
        <v>0</v>
      </c>
      <c r="AE109">
        <v>8.09</v>
      </c>
      <c r="AF109">
        <v>0</v>
      </c>
      <c r="AG109">
        <v>0</v>
      </c>
      <c r="AH109">
        <v>0</v>
      </c>
      <c r="AI109">
        <v>6.71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6</v>
      </c>
      <c r="AT109">
        <v>4.0199999999999996</v>
      </c>
      <c r="AU109" t="s">
        <v>6</v>
      </c>
      <c r="AV109">
        <v>0</v>
      </c>
      <c r="AW109">
        <v>2</v>
      </c>
      <c r="AX109">
        <v>16810699</v>
      </c>
      <c r="AY109">
        <v>1</v>
      </c>
      <c r="AZ109">
        <v>0</v>
      </c>
      <c r="BA109">
        <v>113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Y109*Source!I92</f>
        <v>6.6852599999999995</v>
      </c>
      <c r="CY109">
        <f t="shared" si="18"/>
        <v>54.28</v>
      </c>
      <c r="CZ109">
        <f t="shared" si="19"/>
        <v>8.09</v>
      </c>
      <c r="DA109">
        <f t="shared" si="20"/>
        <v>6.71</v>
      </c>
      <c r="DB109">
        <f t="shared" si="16"/>
        <v>32.520000000000003</v>
      </c>
      <c r="DC109">
        <f t="shared" si="17"/>
        <v>0</v>
      </c>
    </row>
    <row r="110" spans="1:107" x14ac:dyDescent="0.2">
      <c r="A110">
        <f>ROW(Source!A92)</f>
        <v>92</v>
      </c>
      <c r="B110">
        <v>16808636</v>
      </c>
      <c r="C110">
        <v>16810689</v>
      </c>
      <c r="D110">
        <v>15163054</v>
      </c>
      <c r="E110">
        <v>17</v>
      </c>
      <c r="F110">
        <v>1</v>
      </c>
      <c r="G110">
        <v>1</v>
      </c>
      <c r="H110">
        <v>3</v>
      </c>
      <c r="I110" t="s">
        <v>237</v>
      </c>
      <c r="J110" t="s">
        <v>6</v>
      </c>
      <c r="K110" t="s">
        <v>238</v>
      </c>
      <c r="L110">
        <v>1348</v>
      </c>
      <c r="N110">
        <v>1009</v>
      </c>
      <c r="O110" t="s">
        <v>104</v>
      </c>
      <c r="P110" t="s">
        <v>104</v>
      </c>
      <c r="Q110">
        <v>1000</v>
      </c>
      <c r="W110">
        <v>0</v>
      </c>
      <c r="X110">
        <v>1891904026</v>
      </c>
      <c r="Y110">
        <v>7.0999999999999994E-2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6.71</v>
      </c>
      <c r="AJ110">
        <v>1</v>
      </c>
      <c r="AK110">
        <v>1</v>
      </c>
      <c r="AL110">
        <v>1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6</v>
      </c>
      <c r="AT110">
        <v>7.0999999999999994E-2</v>
      </c>
      <c r="AU110" t="s">
        <v>6</v>
      </c>
      <c r="AV110">
        <v>0</v>
      </c>
      <c r="AW110">
        <v>2</v>
      </c>
      <c r="AX110">
        <v>16810700</v>
      </c>
      <c r="AY110">
        <v>1</v>
      </c>
      <c r="AZ110">
        <v>0</v>
      </c>
      <c r="BA110">
        <v>114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Y110*Source!I92</f>
        <v>0.118073</v>
      </c>
      <c r="CY110">
        <f t="shared" si="18"/>
        <v>0</v>
      </c>
      <c r="CZ110">
        <f t="shared" si="19"/>
        <v>0</v>
      </c>
      <c r="DA110">
        <f t="shared" si="20"/>
        <v>6.71</v>
      </c>
      <c r="DB110">
        <f t="shared" si="16"/>
        <v>0</v>
      </c>
      <c r="DC110">
        <f t="shared" si="17"/>
        <v>0</v>
      </c>
    </row>
    <row r="111" spans="1:107" x14ac:dyDescent="0.2">
      <c r="A111">
        <f>ROW(Source!A92)</f>
        <v>92</v>
      </c>
      <c r="B111">
        <v>16808636</v>
      </c>
      <c r="C111">
        <v>16810689</v>
      </c>
      <c r="D111">
        <v>15203309</v>
      </c>
      <c r="E111">
        <v>1</v>
      </c>
      <c r="F111">
        <v>1</v>
      </c>
      <c r="G111">
        <v>1</v>
      </c>
      <c r="H111">
        <v>3</v>
      </c>
      <c r="I111" t="s">
        <v>240</v>
      </c>
      <c r="J111" t="s">
        <v>242</v>
      </c>
      <c r="K111" t="s">
        <v>241</v>
      </c>
      <c r="L111">
        <v>1348</v>
      </c>
      <c r="N111">
        <v>1009</v>
      </c>
      <c r="O111" t="s">
        <v>104</v>
      </c>
      <c r="P111" t="s">
        <v>104</v>
      </c>
      <c r="Q111">
        <v>1000</v>
      </c>
      <c r="W111">
        <v>0</v>
      </c>
      <c r="X111">
        <v>960802034</v>
      </c>
      <c r="Y111">
        <v>7.0999999999999994E-2</v>
      </c>
      <c r="AA111">
        <v>150872.07</v>
      </c>
      <c r="AB111">
        <v>0</v>
      </c>
      <c r="AC111">
        <v>0</v>
      </c>
      <c r="AD111">
        <v>0</v>
      </c>
      <c r="AE111">
        <v>22484.66</v>
      </c>
      <c r="AF111">
        <v>0</v>
      </c>
      <c r="AG111">
        <v>0</v>
      </c>
      <c r="AH111">
        <v>0</v>
      </c>
      <c r="AI111">
        <v>6.71</v>
      </c>
      <c r="AJ111">
        <v>1</v>
      </c>
      <c r="AK111">
        <v>1</v>
      </c>
      <c r="AL111">
        <v>1</v>
      </c>
      <c r="AN111">
        <v>0</v>
      </c>
      <c r="AO111">
        <v>0</v>
      </c>
      <c r="AP111">
        <v>0</v>
      </c>
      <c r="AQ111">
        <v>0</v>
      </c>
      <c r="AR111">
        <v>0</v>
      </c>
      <c r="AS111" t="s">
        <v>6</v>
      </c>
      <c r="AT111">
        <v>7.0999999999999994E-2</v>
      </c>
      <c r="AU111" t="s">
        <v>6</v>
      </c>
      <c r="AV111">
        <v>0</v>
      </c>
      <c r="AW111">
        <v>1</v>
      </c>
      <c r="AX111">
        <v>-1</v>
      </c>
      <c r="AY111">
        <v>0</v>
      </c>
      <c r="AZ111">
        <v>0</v>
      </c>
      <c r="BA111" t="s">
        <v>6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Y111*Source!I92</f>
        <v>0.118073</v>
      </c>
      <c r="CY111">
        <f t="shared" si="18"/>
        <v>150872.07</v>
      </c>
      <c r="CZ111">
        <f t="shared" si="19"/>
        <v>22484.66</v>
      </c>
      <c r="DA111">
        <f t="shared" si="20"/>
        <v>6.71</v>
      </c>
      <c r="DB111">
        <f t="shared" si="16"/>
        <v>1596.41</v>
      </c>
      <c r="DC111">
        <f t="shared" si="17"/>
        <v>0</v>
      </c>
    </row>
    <row r="112" spans="1:107" x14ac:dyDescent="0.2">
      <c r="A112">
        <f>ROW(Source!A92)</f>
        <v>92</v>
      </c>
      <c r="B112">
        <v>16808636</v>
      </c>
      <c r="C112">
        <v>16810689</v>
      </c>
      <c r="D112">
        <v>15204729</v>
      </c>
      <c r="E112">
        <v>1</v>
      </c>
      <c r="F112">
        <v>1</v>
      </c>
      <c r="G112">
        <v>1</v>
      </c>
      <c r="H112">
        <v>3</v>
      </c>
      <c r="I112" t="s">
        <v>853</v>
      </c>
      <c r="J112" t="s">
        <v>854</v>
      </c>
      <c r="K112" t="s">
        <v>855</v>
      </c>
      <c r="L112">
        <v>1348</v>
      </c>
      <c r="N112">
        <v>1009</v>
      </c>
      <c r="O112" t="s">
        <v>104</v>
      </c>
      <c r="P112" t="s">
        <v>104</v>
      </c>
      <c r="Q112">
        <v>1000</v>
      </c>
      <c r="W112">
        <v>0</v>
      </c>
      <c r="X112">
        <v>-2084827333</v>
      </c>
      <c r="Y112">
        <v>7.5999999999999998E-2</v>
      </c>
      <c r="AA112">
        <v>28812.74</v>
      </c>
      <c r="AB112">
        <v>0</v>
      </c>
      <c r="AC112">
        <v>0</v>
      </c>
      <c r="AD112">
        <v>0</v>
      </c>
      <c r="AE112">
        <v>4294</v>
      </c>
      <c r="AF112">
        <v>0</v>
      </c>
      <c r="AG112">
        <v>0</v>
      </c>
      <c r="AH112">
        <v>0</v>
      </c>
      <c r="AI112">
        <v>6.71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6</v>
      </c>
      <c r="AT112">
        <v>7.5999999999999998E-2</v>
      </c>
      <c r="AU112" t="s">
        <v>6</v>
      </c>
      <c r="AV112">
        <v>0</v>
      </c>
      <c r="AW112">
        <v>2</v>
      </c>
      <c r="AX112">
        <v>16810701</v>
      </c>
      <c r="AY112">
        <v>1</v>
      </c>
      <c r="AZ112">
        <v>0</v>
      </c>
      <c r="BA112">
        <v>115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Y112*Source!I92</f>
        <v>0.126388</v>
      </c>
      <c r="CY112">
        <f t="shared" si="18"/>
        <v>28812.74</v>
      </c>
      <c r="CZ112">
        <f t="shared" si="19"/>
        <v>4294</v>
      </c>
      <c r="DA112">
        <f t="shared" si="20"/>
        <v>6.71</v>
      </c>
      <c r="DB112">
        <f t="shared" si="16"/>
        <v>326.33999999999997</v>
      </c>
      <c r="DC112">
        <f t="shared" si="17"/>
        <v>0</v>
      </c>
    </row>
    <row r="113" spans="1:107" x14ac:dyDescent="0.2">
      <c r="A113">
        <f>ROW(Source!A95)</f>
        <v>95</v>
      </c>
      <c r="B113">
        <v>16808636</v>
      </c>
      <c r="C113">
        <v>16810389</v>
      </c>
      <c r="D113">
        <v>15435099</v>
      </c>
      <c r="E113">
        <v>1</v>
      </c>
      <c r="F113">
        <v>1</v>
      </c>
      <c r="G113">
        <v>1</v>
      </c>
      <c r="H113">
        <v>1</v>
      </c>
      <c r="I113" t="s">
        <v>836</v>
      </c>
      <c r="J113" t="s">
        <v>6</v>
      </c>
      <c r="K113" t="s">
        <v>837</v>
      </c>
      <c r="L113">
        <v>1191</v>
      </c>
      <c r="N113">
        <v>1013</v>
      </c>
      <c r="O113" t="s">
        <v>708</v>
      </c>
      <c r="P113" t="s">
        <v>708</v>
      </c>
      <c r="Q113">
        <v>1</v>
      </c>
      <c r="W113">
        <v>0</v>
      </c>
      <c r="X113">
        <v>1010519658</v>
      </c>
      <c r="Y113">
        <v>33.89</v>
      </c>
      <c r="AA113">
        <v>0</v>
      </c>
      <c r="AB113">
        <v>0</v>
      </c>
      <c r="AC113">
        <v>0</v>
      </c>
      <c r="AD113">
        <v>57.97</v>
      </c>
      <c r="AE113">
        <v>0</v>
      </c>
      <c r="AF113">
        <v>0</v>
      </c>
      <c r="AG113">
        <v>0</v>
      </c>
      <c r="AH113">
        <v>8.64</v>
      </c>
      <c r="AI113">
        <v>1</v>
      </c>
      <c r="AJ113">
        <v>1</v>
      </c>
      <c r="AK113">
        <v>1</v>
      </c>
      <c r="AL113">
        <v>6.71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6</v>
      </c>
      <c r="AT113">
        <v>33.89</v>
      </c>
      <c r="AU113" t="s">
        <v>6</v>
      </c>
      <c r="AV113">
        <v>1</v>
      </c>
      <c r="AW113">
        <v>2</v>
      </c>
      <c r="AX113">
        <v>16810403</v>
      </c>
      <c r="AY113">
        <v>1</v>
      </c>
      <c r="AZ113">
        <v>0</v>
      </c>
      <c r="BA113">
        <v>116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Y113*Source!I95</f>
        <v>158.6052</v>
      </c>
      <c r="CY113">
        <f>AD113</f>
        <v>57.97</v>
      </c>
      <c r="CZ113">
        <f>AH113</f>
        <v>8.64</v>
      </c>
      <c r="DA113">
        <f>AL113</f>
        <v>6.71</v>
      </c>
      <c r="DB113">
        <f t="shared" si="16"/>
        <v>292.81</v>
      </c>
      <c r="DC113">
        <f t="shared" si="17"/>
        <v>0</v>
      </c>
    </row>
    <row r="114" spans="1:107" x14ac:dyDescent="0.2">
      <c r="A114">
        <f>ROW(Source!A95)</f>
        <v>95</v>
      </c>
      <c r="B114">
        <v>16808636</v>
      </c>
      <c r="C114">
        <v>16810389</v>
      </c>
      <c r="D114">
        <v>15430395</v>
      </c>
      <c r="E114">
        <v>1</v>
      </c>
      <c r="F114">
        <v>1</v>
      </c>
      <c r="G114">
        <v>1</v>
      </c>
      <c r="H114">
        <v>1</v>
      </c>
      <c r="I114" t="s">
        <v>709</v>
      </c>
      <c r="J114" t="s">
        <v>6</v>
      </c>
      <c r="K114" t="s">
        <v>710</v>
      </c>
      <c r="L114">
        <v>1191</v>
      </c>
      <c r="N114">
        <v>1013</v>
      </c>
      <c r="O114" t="s">
        <v>708</v>
      </c>
      <c r="P114" t="s">
        <v>708</v>
      </c>
      <c r="Q114">
        <v>1</v>
      </c>
      <c r="W114">
        <v>0</v>
      </c>
      <c r="X114">
        <v>-1417349443</v>
      </c>
      <c r="Y114">
        <v>0.16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1</v>
      </c>
      <c r="AJ114">
        <v>1</v>
      </c>
      <c r="AK114">
        <v>6.71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6</v>
      </c>
      <c r="AT114">
        <v>0.16</v>
      </c>
      <c r="AU114" t="s">
        <v>6</v>
      </c>
      <c r="AV114">
        <v>2</v>
      </c>
      <c r="AW114">
        <v>2</v>
      </c>
      <c r="AX114">
        <v>16810404</v>
      </c>
      <c r="AY114">
        <v>1</v>
      </c>
      <c r="AZ114">
        <v>0</v>
      </c>
      <c r="BA114">
        <v>117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Y114*Source!I95</f>
        <v>0.74880000000000002</v>
      </c>
      <c r="CY114">
        <f>AD114</f>
        <v>0</v>
      </c>
      <c r="CZ114">
        <f>AH114</f>
        <v>0</v>
      </c>
      <c r="DA114">
        <f>AL114</f>
        <v>1</v>
      </c>
      <c r="DB114">
        <f t="shared" si="16"/>
        <v>0</v>
      </c>
      <c r="DC114">
        <f t="shared" si="17"/>
        <v>0</v>
      </c>
    </row>
    <row r="115" spans="1:107" x14ac:dyDescent="0.2">
      <c r="A115">
        <f>ROW(Source!A95)</f>
        <v>95</v>
      </c>
      <c r="B115">
        <v>16808636</v>
      </c>
      <c r="C115">
        <v>16810389</v>
      </c>
      <c r="D115">
        <v>15247974</v>
      </c>
      <c r="E115">
        <v>1</v>
      </c>
      <c r="F115">
        <v>1</v>
      </c>
      <c r="G115">
        <v>1</v>
      </c>
      <c r="H115">
        <v>2</v>
      </c>
      <c r="I115" t="s">
        <v>711</v>
      </c>
      <c r="J115" t="s">
        <v>712</v>
      </c>
      <c r="K115" t="s">
        <v>713</v>
      </c>
      <c r="L115">
        <v>1368</v>
      </c>
      <c r="N115">
        <v>1011</v>
      </c>
      <c r="O115" t="s">
        <v>714</v>
      </c>
      <c r="P115" t="s">
        <v>714</v>
      </c>
      <c r="Q115">
        <v>1</v>
      </c>
      <c r="W115">
        <v>0</v>
      </c>
      <c r="X115">
        <v>1188625873</v>
      </c>
      <c r="Y115">
        <v>0.1</v>
      </c>
      <c r="AA115">
        <v>0</v>
      </c>
      <c r="AB115">
        <v>209.75</v>
      </c>
      <c r="AC115">
        <v>13.5</v>
      </c>
      <c r="AD115">
        <v>0</v>
      </c>
      <c r="AE115">
        <v>0</v>
      </c>
      <c r="AF115">
        <v>31.26</v>
      </c>
      <c r="AG115">
        <v>13.5</v>
      </c>
      <c r="AH115">
        <v>0</v>
      </c>
      <c r="AI115">
        <v>1</v>
      </c>
      <c r="AJ115">
        <v>6.71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6</v>
      </c>
      <c r="AT115">
        <v>0.1</v>
      </c>
      <c r="AU115" t="s">
        <v>6</v>
      </c>
      <c r="AV115">
        <v>0</v>
      </c>
      <c r="AW115">
        <v>2</v>
      </c>
      <c r="AX115">
        <v>16810405</v>
      </c>
      <c r="AY115">
        <v>1</v>
      </c>
      <c r="AZ115">
        <v>0</v>
      </c>
      <c r="BA115">
        <v>118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Y115*Source!I95</f>
        <v>0.46799999999999997</v>
      </c>
      <c r="CY115">
        <f>AB115</f>
        <v>209.75</v>
      </c>
      <c r="CZ115">
        <f>AF115</f>
        <v>31.26</v>
      </c>
      <c r="DA115">
        <f>AJ115</f>
        <v>6.71</v>
      </c>
      <c r="DB115">
        <f t="shared" si="16"/>
        <v>3.13</v>
      </c>
      <c r="DC115">
        <f t="shared" si="17"/>
        <v>1.35</v>
      </c>
    </row>
    <row r="116" spans="1:107" x14ac:dyDescent="0.2">
      <c r="A116">
        <f>ROW(Source!A95)</f>
        <v>95</v>
      </c>
      <c r="B116">
        <v>16808636</v>
      </c>
      <c r="C116">
        <v>16810389</v>
      </c>
      <c r="D116">
        <v>15249073</v>
      </c>
      <c r="E116">
        <v>1</v>
      </c>
      <c r="F116">
        <v>1</v>
      </c>
      <c r="G116">
        <v>1</v>
      </c>
      <c r="H116">
        <v>2</v>
      </c>
      <c r="I116" t="s">
        <v>724</v>
      </c>
      <c r="J116" t="s">
        <v>725</v>
      </c>
      <c r="K116" t="s">
        <v>726</v>
      </c>
      <c r="L116">
        <v>1368</v>
      </c>
      <c r="N116">
        <v>1011</v>
      </c>
      <c r="O116" t="s">
        <v>714</v>
      </c>
      <c r="P116" t="s">
        <v>714</v>
      </c>
      <c r="Q116">
        <v>1</v>
      </c>
      <c r="W116">
        <v>0</v>
      </c>
      <c r="X116">
        <v>1372534845</v>
      </c>
      <c r="Y116">
        <v>0.06</v>
      </c>
      <c r="AA116">
        <v>0</v>
      </c>
      <c r="AB116">
        <v>440.91</v>
      </c>
      <c r="AC116">
        <v>11.6</v>
      </c>
      <c r="AD116">
        <v>0</v>
      </c>
      <c r="AE116">
        <v>0</v>
      </c>
      <c r="AF116">
        <v>65.709999999999994</v>
      </c>
      <c r="AG116">
        <v>11.6</v>
      </c>
      <c r="AH116">
        <v>0</v>
      </c>
      <c r="AI116">
        <v>1</v>
      </c>
      <c r="AJ116">
        <v>6.71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6</v>
      </c>
      <c r="AT116">
        <v>0.06</v>
      </c>
      <c r="AU116" t="s">
        <v>6</v>
      </c>
      <c r="AV116">
        <v>0</v>
      </c>
      <c r="AW116">
        <v>2</v>
      </c>
      <c r="AX116">
        <v>16810406</v>
      </c>
      <c r="AY116">
        <v>1</v>
      </c>
      <c r="AZ116">
        <v>0</v>
      </c>
      <c r="BA116">
        <v>119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Y116*Source!I95</f>
        <v>0.28079999999999999</v>
      </c>
      <c r="CY116">
        <f>AB116</f>
        <v>440.91</v>
      </c>
      <c r="CZ116">
        <f>AF116</f>
        <v>65.709999999999994</v>
      </c>
      <c r="DA116">
        <f>AJ116</f>
        <v>6.71</v>
      </c>
      <c r="DB116">
        <f t="shared" si="16"/>
        <v>3.94</v>
      </c>
      <c r="DC116">
        <f t="shared" si="17"/>
        <v>0.7</v>
      </c>
    </row>
    <row r="117" spans="1:107" x14ac:dyDescent="0.2">
      <c r="A117">
        <f>ROW(Source!A95)</f>
        <v>95</v>
      </c>
      <c r="B117">
        <v>16808636</v>
      </c>
      <c r="C117">
        <v>16810389</v>
      </c>
      <c r="D117">
        <v>15167286</v>
      </c>
      <c r="E117">
        <v>1</v>
      </c>
      <c r="F117">
        <v>1</v>
      </c>
      <c r="G117">
        <v>1</v>
      </c>
      <c r="H117">
        <v>3</v>
      </c>
      <c r="I117" t="s">
        <v>781</v>
      </c>
      <c r="J117" t="s">
        <v>782</v>
      </c>
      <c r="K117" t="s">
        <v>783</v>
      </c>
      <c r="L117">
        <v>1339</v>
      </c>
      <c r="N117">
        <v>1007</v>
      </c>
      <c r="O117" t="s">
        <v>254</v>
      </c>
      <c r="P117" t="s">
        <v>254</v>
      </c>
      <c r="Q117">
        <v>1</v>
      </c>
      <c r="W117">
        <v>0</v>
      </c>
      <c r="X117">
        <v>-1660354250</v>
      </c>
      <c r="Y117">
        <v>0.24</v>
      </c>
      <c r="AA117">
        <v>16.37</v>
      </c>
      <c r="AB117">
        <v>0</v>
      </c>
      <c r="AC117">
        <v>0</v>
      </c>
      <c r="AD117">
        <v>0</v>
      </c>
      <c r="AE117">
        <v>2.44</v>
      </c>
      <c r="AF117">
        <v>0</v>
      </c>
      <c r="AG117">
        <v>0</v>
      </c>
      <c r="AH117">
        <v>0</v>
      </c>
      <c r="AI117">
        <v>6.71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6</v>
      </c>
      <c r="AT117">
        <v>0.24</v>
      </c>
      <c r="AU117" t="s">
        <v>6</v>
      </c>
      <c r="AV117">
        <v>0</v>
      </c>
      <c r="AW117">
        <v>2</v>
      </c>
      <c r="AX117">
        <v>16810407</v>
      </c>
      <c r="AY117">
        <v>1</v>
      </c>
      <c r="AZ117">
        <v>0</v>
      </c>
      <c r="BA117">
        <v>120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Y117*Source!I95</f>
        <v>1.1232</v>
      </c>
      <c r="CY117">
        <f t="shared" ref="CY117:CY125" si="21">AA117</f>
        <v>16.37</v>
      </c>
      <c r="CZ117">
        <f t="shared" ref="CZ117:CZ125" si="22">AE117</f>
        <v>2.44</v>
      </c>
      <c r="DA117">
        <f t="shared" ref="DA117:DA125" si="23">AI117</f>
        <v>6.71</v>
      </c>
      <c r="DB117">
        <f t="shared" si="16"/>
        <v>0.59</v>
      </c>
      <c r="DC117">
        <f t="shared" si="17"/>
        <v>0</v>
      </c>
    </row>
    <row r="118" spans="1:107" x14ac:dyDescent="0.2">
      <c r="A118">
        <f>ROW(Source!A95)</f>
        <v>95</v>
      </c>
      <c r="B118">
        <v>16808636</v>
      </c>
      <c r="C118">
        <v>16810389</v>
      </c>
      <c r="D118">
        <v>15167766</v>
      </c>
      <c r="E118">
        <v>1</v>
      </c>
      <c r="F118">
        <v>1</v>
      </c>
      <c r="G118">
        <v>1</v>
      </c>
      <c r="H118">
        <v>3</v>
      </c>
      <c r="I118" t="s">
        <v>838</v>
      </c>
      <c r="J118" t="s">
        <v>839</v>
      </c>
      <c r="K118" t="s">
        <v>840</v>
      </c>
      <c r="L118">
        <v>1354</v>
      </c>
      <c r="N118">
        <v>1010</v>
      </c>
      <c r="O118" t="s">
        <v>350</v>
      </c>
      <c r="P118" t="s">
        <v>350</v>
      </c>
      <c r="Q118">
        <v>1</v>
      </c>
      <c r="W118">
        <v>0</v>
      </c>
      <c r="X118">
        <v>-1046673864</v>
      </c>
      <c r="Y118">
        <v>5.0999999999999996</v>
      </c>
      <c r="AA118">
        <v>30.2</v>
      </c>
      <c r="AB118">
        <v>0</v>
      </c>
      <c r="AC118">
        <v>0</v>
      </c>
      <c r="AD118">
        <v>0</v>
      </c>
      <c r="AE118">
        <v>4.5</v>
      </c>
      <c r="AF118">
        <v>0</v>
      </c>
      <c r="AG118">
        <v>0</v>
      </c>
      <c r="AH118">
        <v>0</v>
      </c>
      <c r="AI118">
        <v>6.71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6</v>
      </c>
      <c r="AT118">
        <v>5.0999999999999996</v>
      </c>
      <c r="AU118" t="s">
        <v>6</v>
      </c>
      <c r="AV118">
        <v>0</v>
      </c>
      <c r="AW118">
        <v>2</v>
      </c>
      <c r="AX118">
        <v>16810408</v>
      </c>
      <c r="AY118">
        <v>1</v>
      </c>
      <c r="AZ118">
        <v>0</v>
      </c>
      <c r="BA118">
        <v>121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Y118*Source!I95</f>
        <v>23.867999999999999</v>
      </c>
      <c r="CY118">
        <f t="shared" si="21"/>
        <v>30.2</v>
      </c>
      <c r="CZ118">
        <f t="shared" si="22"/>
        <v>4.5</v>
      </c>
      <c r="DA118">
        <f t="shared" si="23"/>
        <v>6.71</v>
      </c>
      <c r="DB118">
        <f t="shared" si="16"/>
        <v>22.95</v>
      </c>
      <c r="DC118">
        <f t="shared" si="17"/>
        <v>0</v>
      </c>
    </row>
    <row r="119" spans="1:107" x14ac:dyDescent="0.2">
      <c r="A119">
        <f>ROW(Source!A95)</f>
        <v>95</v>
      </c>
      <c r="B119">
        <v>16808636</v>
      </c>
      <c r="C119">
        <v>16810389</v>
      </c>
      <c r="D119">
        <v>15168015</v>
      </c>
      <c r="E119">
        <v>1</v>
      </c>
      <c r="F119">
        <v>1</v>
      </c>
      <c r="G119">
        <v>1</v>
      </c>
      <c r="H119">
        <v>3</v>
      </c>
      <c r="I119" t="s">
        <v>841</v>
      </c>
      <c r="J119" t="s">
        <v>842</v>
      </c>
      <c r="K119" t="s">
        <v>843</v>
      </c>
      <c r="L119">
        <v>1348</v>
      </c>
      <c r="N119">
        <v>1009</v>
      </c>
      <c r="O119" t="s">
        <v>104</v>
      </c>
      <c r="P119" t="s">
        <v>104</v>
      </c>
      <c r="Q119">
        <v>1000</v>
      </c>
      <c r="W119">
        <v>0</v>
      </c>
      <c r="X119">
        <v>-526970962</v>
      </c>
      <c r="Y119">
        <v>2.5499999999999998E-2</v>
      </c>
      <c r="AA119">
        <v>3935.21</v>
      </c>
      <c r="AB119">
        <v>0</v>
      </c>
      <c r="AC119">
        <v>0</v>
      </c>
      <c r="AD119">
        <v>0</v>
      </c>
      <c r="AE119">
        <v>586.47</v>
      </c>
      <c r="AF119">
        <v>0</v>
      </c>
      <c r="AG119">
        <v>0</v>
      </c>
      <c r="AH119">
        <v>0</v>
      </c>
      <c r="AI119">
        <v>6.71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6</v>
      </c>
      <c r="AT119">
        <v>2.5499999999999998E-2</v>
      </c>
      <c r="AU119" t="s">
        <v>6</v>
      </c>
      <c r="AV119">
        <v>0</v>
      </c>
      <c r="AW119">
        <v>2</v>
      </c>
      <c r="AX119">
        <v>16810409</v>
      </c>
      <c r="AY119">
        <v>1</v>
      </c>
      <c r="AZ119">
        <v>0</v>
      </c>
      <c r="BA119">
        <v>122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Y119*Source!I95</f>
        <v>0.11933999999999999</v>
      </c>
      <c r="CY119">
        <f t="shared" si="21"/>
        <v>3935.21</v>
      </c>
      <c r="CZ119">
        <f t="shared" si="22"/>
        <v>586.47</v>
      </c>
      <c r="DA119">
        <f t="shared" si="23"/>
        <v>6.71</v>
      </c>
      <c r="DB119">
        <f t="shared" si="16"/>
        <v>14.95</v>
      </c>
      <c r="DC119">
        <f t="shared" si="17"/>
        <v>0</v>
      </c>
    </row>
    <row r="120" spans="1:107" x14ac:dyDescent="0.2">
      <c r="A120">
        <f>ROW(Source!A95)</f>
        <v>95</v>
      </c>
      <c r="B120">
        <v>16808636</v>
      </c>
      <c r="C120">
        <v>16810389</v>
      </c>
      <c r="D120">
        <v>15170682</v>
      </c>
      <c r="E120">
        <v>1</v>
      </c>
      <c r="F120">
        <v>1</v>
      </c>
      <c r="G120">
        <v>1</v>
      </c>
      <c r="H120">
        <v>3</v>
      </c>
      <c r="I120" t="s">
        <v>844</v>
      </c>
      <c r="J120" t="s">
        <v>845</v>
      </c>
      <c r="K120" t="s">
        <v>846</v>
      </c>
      <c r="L120">
        <v>1327</v>
      </c>
      <c r="N120">
        <v>1005</v>
      </c>
      <c r="O120" t="s">
        <v>190</v>
      </c>
      <c r="P120" t="s">
        <v>190</v>
      </c>
      <c r="Q120">
        <v>1</v>
      </c>
      <c r="W120">
        <v>0</v>
      </c>
      <c r="X120">
        <v>-1987926685</v>
      </c>
      <c r="Y120">
        <v>1.6</v>
      </c>
      <c r="AA120">
        <v>485.27</v>
      </c>
      <c r="AB120">
        <v>0</v>
      </c>
      <c r="AC120">
        <v>0</v>
      </c>
      <c r="AD120">
        <v>0</v>
      </c>
      <c r="AE120">
        <v>72.319999999999993</v>
      </c>
      <c r="AF120">
        <v>0</v>
      </c>
      <c r="AG120">
        <v>0</v>
      </c>
      <c r="AH120">
        <v>0</v>
      </c>
      <c r="AI120">
        <v>6.71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6</v>
      </c>
      <c r="AT120">
        <v>1.6</v>
      </c>
      <c r="AU120" t="s">
        <v>6</v>
      </c>
      <c r="AV120">
        <v>0</v>
      </c>
      <c r="AW120">
        <v>2</v>
      </c>
      <c r="AX120">
        <v>16810410</v>
      </c>
      <c r="AY120">
        <v>1</v>
      </c>
      <c r="AZ120">
        <v>0</v>
      </c>
      <c r="BA120">
        <v>123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Y120*Source!I95</f>
        <v>7.4879999999999995</v>
      </c>
      <c r="CY120">
        <f t="shared" si="21"/>
        <v>485.27</v>
      </c>
      <c r="CZ120">
        <f t="shared" si="22"/>
        <v>72.319999999999993</v>
      </c>
      <c r="DA120">
        <f t="shared" si="23"/>
        <v>6.71</v>
      </c>
      <c r="DB120">
        <f t="shared" si="16"/>
        <v>115.71</v>
      </c>
      <c r="DC120">
        <f t="shared" si="17"/>
        <v>0</v>
      </c>
    </row>
    <row r="121" spans="1:107" x14ac:dyDescent="0.2">
      <c r="A121">
        <f>ROW(Source!A95)</f>
        <v>95</v>
      </c>
      <c r="B121">
        <v>16808636</v>
      </c>
      <c r="C121">
        <v>16810389</v>
      </c>
      <c r="D121">
        <v>15171907</v>
      </c>
      <c r="E121">
        <v>1</v>
      </c>
      <c r="F121">
        <v>1</v>
      </c>
      <c r="G121">
        <v>1</v>
      </c>
      <c r="H121">
        <v>3</v>
      </c>
      <c r="I121" t="s">
        <v>847</v>
      </c>
      <c r="J121" t="s">
        <v>848</v>
      </c>
      <c r="K121" t="s">
        <v>849</v>
      </c>
      <c r="L121">
        <v>1339</v>
      </c>
      <c r="N121">
        <v>1007</v>
      </c>
      <c r="O121" t="s">
        <v>254</v>
      </c>
      <c r="P121" t="s">
        <v>254</v>
      </c>
      <c r="Q121">
        <v>1</v>
      </c>
      <c r="W121">
        <v>0</v>
      </c>
      <c r="X121">
        <v>1795918813</v>
      </c>
      <c r="Y121">
        <v>4.4000000000000003E-3</v>
      </c>
      <c r="AA121">
        <v>500.43</v>
      </c>
      <c r="AB121">
        <v>0</v>
      </c>
      <c r="AC121">
        <v>0</v>
      </c>
      <c r="AD121">
        <v>0</v>
      </c>
      <c r="AE121">
        <v>74.58</v>
      </c>
      <c r="AF121">
        <v>0</v>
      </c>
      <c r="AG121">
        <v>0</v>
      </c>
      <c r="AH121">
        <v>0</v>
      </c>
      <c r="AI121">
        <v>6.71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6</v>
      </c>
      <c r="AT121">
        <v>4.4000000000000003E-3</v>
      </c>
      <c r="AU121" t="s">
        <v>6</v>
      </c>
      <c r="AV121">
        <v>0</v>
      </c>
      <c r="AW121">
        <v>2</v>
      </c>
      <c r="AX121">
        <v>16810411</v>
      </c>
      <c r="AY121">
        <v>1</v>
      </c>
      <c r="AZ121">
        <v>0</v>
      </c>
      <c r="BA121">
        <v>124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Y121*Source!I95</f>
        <v>2.0591999999999999E-2</v>
      </c>
      <c r="CY121">
        <f t="shared" si="21"/>
        <v>500.43</v>
      </c>
      <c r="CZ121">
        <f t="shared" si="22"/>
        <v>74.58</v>
      </c>
      <c r="DA121">
        <f t="shared" si="23"/>
        <v>6.71</v>
      </c>
      <c r="DB121">
        <f t="shared" si="16"/>
        <v>0.33</v>
      </c>
      <c r="DC121">
        <f t="shared" si="17"/>
        <v>0</v>
      </c>
    </row>
    <row r="122" spans="1:107" x14ac:dyDescent="0.2">
      <c r="A122">
        <f>ROW(Source!A95)</f>
        <v>95</v>
      </c>
      <c r="B122">
        <v>16808636</v>
      </c>
      <c r="C122">
        <v>16810389</v>
      </c>
      <c r="D122">
        <v>15202490</v>
      </c>
      <c r="E122">
        <v>1</v>
      </c>
      <c r="F122">
        <v>1</v>
      </c>
      <c r="G122">
        <v>1</v>
      </c>
      <c r="H122">
        <v>3</v>
      </c>
      <c r="I122" t="s">
        <v>850</v>
      </c>
      <c r="J122" t="s">
        <v>851</v>
      </c>
      <c r="K122" t="s">
        <v>852</v>
      </c>
      <c r="L122">
        <v>1346</v>
      </c>
      <c r="N122">
        <v>1009</v>
      </c>
      <c r="O122" t="s">
        <v>300</v>
      </c>
      <c r="P122" t="s">
        <v>300</v>
      </c>
      <c r="Q122">
        <v>1</v>
      </c>
      <c r="W122">
        <v>0</v>
      </c>
      <c r="X122">
        <v>-1684093315</v>
      </c>
      <c r="Y122">
        <v>4.0199999999999996</v>
      </c>
      <c r="AA122">
        <v>54.28</v>
      </c>
      <c r="AB122">
        <v>0</v>
      </c>
      <c r="AC122">
        <v>0</v>
      </c>
      <c r="AD122">
        <v>0</v>
      </c>
      <c r="AE122">
        <v>8.09</v>
      </c>
      <c r="AF122">
        <v>0</v>
      </c>
      <c r="AG122">
        <v>0</v>
      </c>
      <c r="AH122">
        <v>0</v>
      </c>
      <c r="AI122">
        <v>6.71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6</v>
      </c>
      <c r="AT122">
        <v>4.0199999999999996</v>
      </c>
      <c r="AU122" t="s">
        <v>6</v>
      </c>
      <c r="AV122">
        <v>0</v>
      </c>
      <c r="AW122">
        <v>2</v>
      </c>
      <c r="AX122">
        <v>16810412</v>
      </c>
      <c r="AY122">
        <v>1</v>
      </c>
      <c r="AZ122">
        <v>0</v>
      </c>
      <c r="BA122">
        <v>125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Y122*Source!I95</f>
        <v>18.813599999999997</v>
      </c>
      <c r="CY122">
        <f t="shared" si="21"/>
        <v>54.28</v>
      </c>
      <c r="CZ122">
        <f t="shared" si="22"/>
        <v>8.09</v>
      </c>
      <c r="DA122">
        <f t="shared" si="23"/>
        <v>6.71</v>
      </c>
      <c r="DB122">
        <f t="shared" si="16"/>
        <v>32.520000000000003</v>
      </c>
      <c r="DC122">
        <f t="shared" si="17"/>
        <v>0</v>
      </c>
    </row>
    <row r="123" spans="1:107" x14ac:dyDescent="0.2">
      <c r="A123">
        <f>ROW(Source!A95)</f>
        <v>95</v>
      </c>
      <c r="B123">
        <v>16808636</v>
      </c>
      <c r="C123">
        <v>16810389</v>
      </c>
      <c r="D123">
        <v>15163054</v>
      </c>
      <c r="E123">
        <v>17</v>
      </c>
      <c r="F123">
        <v>1</v>
      </c>
      <c r="G123">
        <v>1</v>
      </c>
      <c r="H123">
        <v>3</v>
      </c>
      <c r="I123" t="s">
        <v>237</v>
      </c>
      <c r="J123" t="s">
        <v>6</v>
      </c>
      <c r="K123" t="s">
        <v>238</v>
      </c>
      <c r="L123">
        <v>1348</v>
      </c>
      <c r="N123">
        <v>1009</v>
      </c>
      <c r="O123" t="s">
        <v>104</v>
      </c>
      <c r="P123" t="s">
        <v>104</v>
      </c>
      <c r="Q123">
        <v>1000</v>
      </c>
      <c r="W123">
        <v>0</v>
      </c>
      <c r="X123">
        <v>1891904026</v>
      </c>
      <c r="Y123">
        <v>7.0999999999999994E-2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6.71</v>
      </c>
      <c r="AJ123">
        <v>1</v>
      </c>
      <c r="AK123">
        <v>1</v>
      </c>
      <c r="AL123">
        <v>1</v>
      </c>
      <c r="AN123">
        <v>0</v>
      </c>
      <c r="AO123">
        <v>0</v>
      </c>
      <c r="AP123">
        <v>0</v>
      </c>
      <c r="AQ123">
        <v>0</v>
      </c>
      <c r="AR123">
        <v>0</v>
      </c>
      <c r="AS123" t="s">
        <v>6</v>
      </c>
      <c r="AT123">
        <v>7.0999999999999994E-2</v>
      </c>
      <c r="AU123" t="s">
        <v>6</v>
      </c>
      <c r="AV123">
        <v>0</v>
      </c>
      <c r="AW123">
        <v>2</v>
      </c>
      <c r="AX123">
        <v>16810413</v>
      </c>
      <c r="AY123">
        <v>1</v>
      </c>
      <c r="AZ123">
        <v>0</v>
      </c>
      <c r="BA123">
        <v>126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Y123*Source!I95</f>
        <v>0.33227999999999996</v>
      </c>
      <c r="CY123">
        <f t="shared" si="21"/>
        <v>0</v>
      </c>
      <c r="CZ123">
        <f t="shared" si="22"/>
        <v>0</v>
      </c>
      <c r="DA123">
        <f t="shared" si="23"/>
        <v>6.71</v>
      </c>
      <c r="DB123">
        <f t="shared" si="16"/>
        <v>0</v>
      </c>
      <c r="DC123">
        <f t="shared" si="17"/>
        <v>0</v>
      </c>
    </row>
    <row r="124" spans="1:107" x14ac:dyDescent="0.2">
      <c r="A124">
        <f>ROW(Source!A95)</f>
        <v>95</v>
      </c>
      <c r="B124">
        <v>16808636</v>
      </c>
      <c r="C124">
        <v>16810389</v>
      </c>
      <c r="D124">
        <v>15203309</v>
      </c>
      <c r="E124">
        <v>1</v>
      </c>
      <c r="F124">
        <v>1</v>
      </c>
      <c r="G124">
        <v>1</v>
      </c>
      <c r="H124">
        <v>3</v>
      </c>
      <c r="I124" t="s">
        <v>240</v>
      </c>
      <c r="J124" t="s">
        <v>242</v>
      </c>
      <c r="K124" t="s">
        <v>241</v>
      </c>
      <c r="L124">
        <v>1348</v>
      </c>
      <c r="N124">
        <v>1009</v>
      </c>
      <c r="O124" t="s">
        <v>104</v>
      </c>
      <c r="P124" t="s">
        <v>104</v>
      </c>
      <c r="Q124">
        <v>1000</v>
      </c>
      <c r="W124">
        <v>0</v>
      </c>
      <c r="X124">
        <v>960802034</v>
      </c>
      <c r="Y124">
        <v>7.0999999999999994E-2</v>
      </c>
      <c r="AA124">
        <v>150872.07</v>
      </c>
      <c r="AB124">
        <v>0</v>
      </c>
      <c r="AC124">
        <v>0</v>
      </c>
      <c r="AD124">
        <v>0</v>
      </c>
      <c r="AE124">
        <v>22484.66</v>
      </c>
      <c r="AF124">
        <v>0</v>
      </c>
      <c r="AG124">
        <v>0</v>
      </c>
      <c r="AH124">
        <v>0</v>
      </c>
      <c r="AI124">
        <v>6.71</v>
      </c>
      <c r="AJ124">
        <v>1</v>
      </c>
      <c r="AK124">
        <v>1</v>
      </c>
      <c r="AL124">
        <v>1</v>
      </c>
      <c r="AN124">
        <v>0</v>
      </c>
      <c r="AO124">
        <v>0</v>
      </c>
      <c r="AP124">
        <v>0</v>
      </c>
      <c r="AQ124">
        <v>0</v>
      </c>
      <c r="AR124">
        <v>0</v>
      </c>
      <c r="AS124" t="s">
        <v>6</v>
      </c>
      <c r="AT124">
        <v>7.0999999999999994E-2</v>
      </c>
      <c r="AU124" t="s">
        <v>6</v>
      </c>
      <c r="AV124">
        <v>0</v>
      </c>
      <c r="AW124">
        <v>1</v>
      </c>
      <c r="AX124">
        <v>-1</v>
      </c>
      <c r="AY124">
        <v>0</v>
      </c>
      <c r="AZ124">
        <v>0</v>
      </c>
      <c r="BA124" t="s">
        <v>6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Y124*Source!I95</f>
        <v>0.33227999999999996</v>
      </c>
      <c r="CY124">
        <f t="shared" si="21"/>
        <v>150872.07</v>
      </c>
      <c r="CZ124">
        <f t="shared" si="22"/>
        <v>22484.66</v>
      </c>
      <c r="DA124">
        <f t="shared" si="23"/>
        <v>6.71</v>
      </c>
      <c r="DB124">
        <f t="shared" si="16"/>
        <v>1596.41</v>
      </c>
      <c r="DC124">
        <f t="shared" si="17"/>
        <v>0</v>
      </c>
    </row>
    <row r="125" spans="1:107" x14ac:dyDescent="0.2">
      <c r="A125">
        <f>ROW(Source!A95)</f>
        <v>95</v>
      </c>
      <c r="B125">
        <v>16808636</v>
      </c>
      <c r="C125">
        <v>16810389</v>
      </c>
      <c r="D125">
        <v>15204729</v>
      </c>
      <c r="E125">
        <v>1</v>
      </c>
      <c r="F125">
        <v>1</v>
      </c>
      <c r="G125">
        <v>1</v>
      </c>
      <c r="H125">
        <v>3</v>
      </c>
      <c r="I125" t="s">
        <v>853</v>
      </c>
      <c r="J125" t="s">
        <v>854</v>
      </c>
      <c r="K125" t="s">
        <v>855</v>
      </c>
      <c r="L125">
        <v>1348</v>
      </c>
      <c r="N125">
        <v>1009</v>
      </c>
      <c r="O125" t="s">
        <v>104</v>
      </c>
      <c r="P125" t="s">
        <v>104</v>
      </c>
      <c r="Q125">
        <v>1000</v>
      </c>
      <c r="W125">
        <v>0</v>
      </c>
      <c r="X125">
        <v>-2084827333</v>
      </c>
      <c r="Y125">
        <v>7.1999999999999995E-2</v>
      </c>
      <c r="AA125">
        <v>28812.74</v>
      </c>
      <c r="AB125">
        <v>0</v>
      </c>
      <c r="AC125">
        <v>0</v>
      </c>
      <c r="AD125">
        <v>0</v>
      </c>
      <c r="AE125">
        <v>4294</v>
      </c>
      <c r="AF125">
        <v>0</v>
      </c>
      <c r="AG125">
        <v>0</v>
      </c>
      <c r="AH125">
        <v>0</v>
      </c>
      <c r="AI125">
        <v>6.71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6</v>
      </c>
      <c r="AT125">
        <v>7.1999999999999995E-2</v>
      </c>
      <c r="AU125" t="s">
        <v>6</v>
      </c>
      <c r="AV125">
        <v>0</v>
      </c>
      <c r="AW125">
        <v>2</v>
      </c>
      <c r="AX125">
        <v>16810414</v>
      </c>
      <c r="AY125">
        <v>1</v>
      </c>
      <c r="AZ125">
        <v>0</v>
      </c>
      <c r="BA125">
        <v>127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Y125*Source!I95</f>
        <v>0.33695999999999998</v>
      </c>
      <c r="CY125">
        <f t="shared" si="21"/>
        <v>28812.74</v>
      </c>
      <c r="CZ125">
        <f t="shared" si="22"/>
        <v>4294</v>
      </c>
      <c r="DA125">
        <f t="shared" si="23"/>
        <v>6.71</v>
      </c>
      <c r="DB125">
        <f t="shared" si="16"/>
        <v>309.17</v>
      </c>
      <c r="DC125">
        <f t="shared" si="17"/>
        <v>0</v>
      </c>
    </row>
    <row r="126" spans="1:107" x14ac:dyDescent="0.2">
      <c r="A126">
        <f>ROW(Source!A98)</f>
        <v>98</v>
      </c>
      <c r="B126">
        <v>16808636</v>
      </c>
      <c r="C126">
        <v>16810417</v>
      </c>
      <c r="D126">
        <v>15433640</v>
      </c>
      <c r="E126">
        <v>1</v>
      </c>
      <c r="F126">
        <v>1</v>
      </c>
      <c r="G126">
        <v>1</v>
      </c>
      <c r="H126">
        <v>1</v>
      </c>
      <c r="I126" t="s">
        <v>776</v>
      </c>
      <c r="J126" t="s">
        <v>6</v>
      </c>
      <c r="K126" t="s">
        <v>777</v>
      </c>
      <c r="L126">
        <v>1191</v>
      </c>
      <c r="N126">
        <v>1013</v>
      </c>
      <c r="O126" t="s">
        <v>708</v>
      </c>
      <c r="P126" t="s">
        <v>708</v>
      </c>
      <c r="Q126">
        <v>1</v>
      </c>
      <c r="W126">
        <v>0</v>
      </c>
      <c r="X126">
        <v>-1366118074</v>
      </c>
      <c r="Y126">
        <v>54.523799999999994</v>
      </c>
      <c r="AA126">
        <v>0</v>
      </c>
      <c r="AB126">
        <v>0</v>
      </c>
      <c r="AC126">
        <v>0</v>
      </c>
      <c r="AD126">
        <v>53.28</v>
      </c>
      <c r="AE126">
        <v>0</v>
      </c>
      <c r="AF126">
        <v>0</v>
      </c>
      <c r="AG126">
        <v>0</v>
      </c>
      <c r="AH126">
        <v>7.94</v>
      </c>
      <c r="AI126">
        <v>1</v>
      </c>
      <c r="AJ126">
        <v>1</v>
      </c>
      <c r="AK126">
        <v>1</v>
      </c>
      <c r="AL126">
        <v>6.71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6</v>
      </c>
      <c r="AT126">
        <v>39.51</v>
      </c>
      <c r="AU126" t="s">
        <v>175</v>
      </c>
      <c r="AV126">
        <v>1</v>
      </c>
      <c r="AW126">
        <v>2</v>
      </c>
      <c r="AX126">
        <v>16810425</v>
      </c>
      <c r="AY126">
        <v>1</v>
      </c>
      <c r="AZ126">
        <v>0</v>
      </c>
      <c r="BA126">
        <v>128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Y126*Source!I98</f>
        <v>90.673079399999992</v>
      </c>
      <c r="CY126">
        <f>AD126</f>
        <v>53.28</v>
      </c>
      <c r="CZ126">
        <f>AH126</f>
        <v>7.94</v>
      </c>
      <c r="DA126">
        <f>AL126</f>
        <v>6.71</v>
      </c>
      <c r="DB126">
        <f>ROUND(((ROUND(AT126*CZ126,2)*1.15)*1.2),2)</f>
        <v>432.92</v>
      </c>
      <c r="DC126">
        <f>ROUND(((ROUND(AT126*AG126,2)*1.15)*1.2),2)</f>
        <v>0</v>
      </c>
    </row>
    <row r="127" spans="1:107" x14ac:dyDescent="0.2">
      <c r="A127">
        <f>ROW(Source!A98)</f>
        <v>98</v>
      </c>
      <c r="B127">
        <v>16808636</v>
      </c>
      <c r="C127">
        <v>16810417</v>
      </c>
      <c r="D127">
        <v>15430395</v>
      </c>
      <c r="E127">
        <v>1</v>
      </c>
      <c r="F127">
        <v>1</v>
      </c>
      <c r="G127">
        <v>1</v>
      </c>
      <c r="H127">
        <v>1</v>
      </c>
      <c r="I127" t="s">
        <v>709</v>
      </c>
      <c r="J127" t="s">
        <v>6</v>
      </c>
      <c r="K127" t="s">
        <v>710</v>
      </c>
      <c r="L127">
        <v>1191</v>
      </c>
      <c r="N127">
        <v>1013</v>
      </c>
      <c r="O127" t="s">
        <v>708</v>
      </c>
      <c r="P127" t="s">
        <v>708</v>
      </c>
      <c r="Q127">
        <v>1</v>
      </c>
      <c r="W127">
        <v>0</v>
      </c>
      <c r="X127">
        <v>-1417349443</v>
      </c>
      <c r="Y127">
        <v>1.27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1</v>
      </c>
      <c r="AJ127">
        <v>1</v>
      </c>
      <c r="AK127">
        <v>6.71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6</v>
      </c>
      <c r="AT127">
        <v>1.27</v>
      </c>
      <c r="AU127" t="s">
        <v>6</v>
      </c>
      <c r="AV127">
        <v>2</v>
      </c>
      <c r="AW127">
        <v>2</v>
      </c>
      <c r="AX127">
        <v>16810426</v>
      </c>
      <c r="AY127">
        <v>1</v>
      </c>
      <c r="AZ127">
        <v>2048</v>
      </c>
      <c r="BA127">
        <v>129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Y127*Source!I98</f>
        <v>2.1120100000000002</v>
      </c>
      <c r="CY127">
        <f>AD127</f>
        <v>0</v>
      </c>
      <c r="CZ127">
        <f>AH127</f>
        <v>0</v>
      </c>
      <c r="DA127">
        <f>AL127</f>
        <v>1</v>
      </c>
      <c r="DB127">
        <f>ROUND(ROUND(AT127*CZ127,2),2)</f>
        <v>0</v>
      </c>
      <c r="DC127">
        <f>ROUND(ROUND(AT127*AG127,2),2)</f>
        <v>0</v>
      </c>
    </row>
    <row r="128" spans="1:107" x14ac:dyDescent="0.2">
      <c r="A128">
        <f>ROW(Source!A98)</f>
        <v>98</v>
      </c>
      <c r="B128">
        <v>16808636</v>
      </c>
      <c r="C128">
        <v>16810417</v>
      </c>
      <c r="D128">
        <v>15247974</v>
      </c>
      <c r="E128">
        <v>1</v>
      </c>
      <c r="F128">
        <v>1</v>
      </c>
      <c r="G128">
        <v>1</v>
      </c>
      <c r="H128">
        <v>2</v>
      </c>
      <c r="I128" t="s">
        <v>711</v>
      </c>
      <c r="J128" t="s">
        <v>712</v>
      </c>
      <c r="K128" t="s">
        <v>713</v>
      </c>
      <c r="L128">
        <v>1368</v>
      </c>
      <c r="N128">
        <v>1011</v>
      </c>
      <c r="O128" t="s">
        <v>714</v>
      </c>
      <c r="P128" t="s">
        <v>714</v>
      </c>
      <c r="Q128">
        <v>1</v>
      </c>
      <c r="W128">
        <v>0</v>
      </c>
      <c r="X128">
        <v>1188625873</v>
      </c>
      <c r="Y128">
        <v>1.9049999999999998</v>
      </c>
      <c r="AA128">
        <v>0</v>
      </c>
      <c r="AB128">
        <v>209.75</v>
      </c>
      <c r="AC128">
        <v>13.5</v>
      </c>
      <c r="AD128">
        <v>0</v>
      </c>
      <c r="AE128">
        <v>0</v>
      </c>
      <c r="AF128">
        <v>31.26</v>
      </c>
      <c r="AG128">
        <v>13.5</v>
      </c>
      <c r="AH128">
        <v>0</v>
      </c>
      <c r="AI128">
        <v>1</v>
      </c>
      <c r="AJ128">
        <v>6.71</v>
      </c>
      <c r="AK128">
        <v>1</v>
      </c>
      <c r="AL128">
        <v>1</v>
      </c>
      <c r="AN128">
        <v>0</v>
      </c>
      <c r="AO128">
        <v>1</v>
      </c>
      <c r="AP128">
        <v>1</v>
      </c>
      <c r="AQ128">
        <v>0</v>
      </c>
      <c r="AR128">
        <v>0</v>
      </c>
      <c r="AS128" t="s">
        <v>6</v>
      </c>
      <c r="AT128">
        <v>1.27</v>
      </c>
      <c r="AU128" t="s">
        <v>174</v>
      </c>
      <c r="AV128">
        <v>0</v>
      </c>
      <c r="AW128">
        <v>2</v>
      </c>
      <c r="AX128">
        <v>16810427</v>
      </c>
      <c r="AY128">
        <v>1</v>
      </c>
      <c r="AZ128">
        <v>0</v>
      </c>
      <c r="BA128">
        <v>130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Y128*Source!I98</f>
        <v>3.1680149999999996</v>
      </c>
      <c r="CY128">
        <f>AB128</f>
        <v>209.75</v>
      </c>
      <c r="CZ128">
        <f>AF128</f>
        <v>31.26</v>
      </c>
      <c r="DA128">
        <f>AJ128</f>
        <v>6.71</v>
      </c>
      <c r="DB128">
        <f>ROUND(((ROUND(AT128*CZ128,2)*1.25)*1.2),2)</f>
        <v>59.55</v>
      </c>
      <c r="DC128">
        <f>ROUND(((ROUND(AT128*AG128,2)*1.25)*1.2),2)</f>
        <v>25.73</v>
      </c>
    </row>
    <row r="129" spans="1:107" x14ac:dyDescent="0.2">
      <c r="A129">
        <f>ROW(Source!A98)</f>
        <v>98</v>
      </c>
      <c r="B129">
        <v>16808636</v>
      </c>
      <c r="C129">
        <v>16810417</v>
      </c>
      <c r="D129">
        <v>15248091</v>
      </c>
      <c r="E129">
        <v>1</v>
      </c>
      <c r="F129">
        <v>1</v>
      </c>
      <c r="G129">
        <v>1</v>
      </c>
      <c r="H129">
        <v>2</v>
      </c>
      <c r="I129" t="s">
        <v>778</v>
      </c>
      <c r="J129" t="s">
        <v>779</v>
      </c>
      <c r="K129" t="s">
        <v>780</v>
      </c>
      <c r="L129">
        <v>1368</v>
      </c>
      <c r="N129">
        <v>1011</v>
      </c>
      <c r="O129" t="s">
        <v>714</v>
      </c>
      <c r="P129" t="s">
        <v>714</v>
      </c>
      <c r="Q129">
        <v>1</v>
      </c>
      <c r="W129">
        <v>0</v>
      </c>
      <c r="X129">
        <v>-1750804799</v>
      </c>
      <c r="Y129">
        <v>13.605</v>
      </c>
      <c r="AA129">
        <v>0</v>
      </c>
      <c r="AB129">
        <v>3.36</v>
      </c>
      <c r="AC129">
        <v>0</v>
      </c>
      <c r="AD129">
        <v>0</v>
      </c>
      <c r="AE129">
        <v>0</v>
      </c>
      <c r="AF129">
        <v>0.5</v>
      </c>
      <c r="AG129">
        <v>0</v>
      </c>
      <c r="AH129">
        <v>0</v>
      </c>
      <c r="AI129">
        <v>1</v>
      </c>
      <c r="AJ129">
        <v>6.71</v>
      </c>
      <c r="AK129">
        <v>1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6</v>
      </c>
      <c r="AT129">
        <v>9.07</v>
      </c>
      <c r="AU129" t="s">
        <v>174</v>
      </c>
      <c r="AV129">
        <v>0</v>
      </c>
      <c r="AW129">
        <v>2</v>
      </c>
      <c r="AX129">
        <v>16810428</v>
      </c>
      <c r="AY129">
        <v>1</v>
      </c>
      <c r="AZ129">
        <v>0</v>
      </c>
      <c r="BA129">
        <v>131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Y129*Source!I98</f>
        <v>22.625115000000001</v>
      </c>
      <c r="CY129">
        <f>AB129</f>
        <v>3.36</v>
      </c>
      <c r="CZ129">
        <f>AF129</f>
        <v>0.5</v>
      </c>
      <c r="DA129">
        <f>AJ129</f>
        <v>6.71</v>
      </c>
      <c r="DB129">
        <f>ROUND(((ROUND(AT129*CZ129,2)*1.25)*1.2),2)</f>
        <v>6.81</v>
      </c>
      <c r="DC129">
        <f>ROUND(((ROUND(AT129*AG129,2)*1.25)*1.2),2)</f>
        <v>0</v>
      </c>
    </row>
    <row r="130" spans="1:107" x14ac:dyDescent="0.2">
      <c r="A130">
        <f>ROW(Source!A98)</f>
        <v>98</v>
      </c>
      <c r="B130">
        <v>16808636</v>
      </c>
      <c r="C130">
        <v>16810417</v>
      </c>
      <c r="D130">
        <v>15167286</v>
      </c>
      <c r="E130">
        <v>1</v>
      </c>
      <c r="F130">
        <v>1</v>
      </c>
      <c r="G130">
        <v>1</v>
      </c>
      <c r="H130">
        <v>3</v>
      </c>
      <c r="I130" t="s">
        <v>781</v>
      </c>
      <c r="J130" t="s">
        <v>782</v>
      </c>
      <c r="K130" t="s">
        <v>783</v>
      </c>
      <c r="L130">
        <v>1339</v>
      </c>
      <c r="N130">
        <v>1007</v>
      </c>
      <c r="O130" t="s">
        <v>254</v>
      </c>
      <c r="P130" t="s">
        <v>254</v>
      </c>
      <c r="Q130">
        <v>1</v>
      </c>
      <c r="W130">
        <v>0</v>
      </c>
      <c r="X130">
        <v>-1660354250</v>
      </c>
      <c r="Y130">
        <v>3.5</v>
      </c>
      <c r="AA130">
        <v>16.37</v>
      </c>
      <c r="AB130">
        <v>0</v>
      </c>
      <c r="AC130">
        <v>0</v>
      </c>
      <c r="AD130">
        <v>0</v>
      </c>
      <c r="AE130">
        <v>2.44</v>
      </c>
      <c r="AF130">
        <v>0</v>
      </c>
      <c r="AG130">
        <v>0</v>
      </c>
      <c r="AH130">
        <v>0</v>
      </c>
      <c r="AI130">
        <v>6.71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6</v>
      </c>
      <c r="AT130">
        <v>3.5</v>
      </c>
      <c r="AU130" t="s">
        <v>6</v>
      </c>
      <c r="AV130">
        <v>0</v>
      </c>
      <c r="AW130">
        <v>2</v>
      </c>
      <c r="AX130">
        <v>16810429</v>
      </c>
      <c r="AY130">
        <v>1</v>
      </c>
      <c r="AZ130">
        <v>0</v>
      </c>
      <c r="BA130">
        <v>132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Y130*Source!I98</f>
        <v>5.8205</v>
      </c>
      <c r="CY130">
        <f>AA130</f>
        <v>16.37</v>
      </c>
      <c r="CZ130">
        <f>AE130</f>
        <v>2.44</v>
      </c>
      <c r="DA130">
        <f>AI130</f>
        <v>6.71</v>
      </c>
      <c r="DB130">
        <f>ROUND(ROUND(AT130*CZ130,2),2)</f>
        <v>8.5399999999999991</v>
      </c>
      <c r="DC130">
        <f>ROUND(ROUND(AT130*AG130,2),2)</f>
        <v>0</v>
      </c>
    </row>
    <row r="131" spans="1:107" x14ac:dyDescent="0.2">
      <c r="A131">
        <f>ROW(Source!A98)</f>
        <v>98</v>
      </c>
      <c r="B131">
        <v>16808636</v>
      </c>
      <c r="C131">
        <v>16810417</v>
      </c>
      <c r="D131">
        <v>15161703</v>
      </c>
      <c r="E131">
        <v>17</v>
      </c>
      <c r="F131">
        <v>1</v>
      </c>
      <c r="G131">
        <v>1</v>
      </c>
      <c r="H131">
        <v>3</v>
      </c>
      <c r="I131" t="s">
        <v>252</v>
      </c>
      <c r="J131" t="s">
        <v>6</v>
      </c>
      <c r="K131" t="s">
        <v>253</v>
      </c>
      <c r="L131">
        <v>1339</v>
      </c>
      <c r="N131">
        <v>1007</v>
      </c>
      <c r="O131" t="s">
        <v>254</v>
      </c>
      <c r="P131" t="s">
        <v>254</v>
      </c>
      <c r="Q131">
        <v>1</v>
      </c>
      <c r="W131">
        <v>0</v>
      </c>
      <c r="X131">
        <v>-2113302258</v>
      </c>
      <c r="Y131">
        <v>2.04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6.71</v>
      </c>
      <c r="AJ131">
        <v>1</v>
      </c>
      <c r="AK131">
        <v>1</v>
      </c>
      <c r="AL131">
        <v>1</v>
      </c>
      <c r="AN131">
        <v>0</v>
      </c>
      <c r="AO131">
        <v>0</v>
      </c>
      <c r="AP131">
        <v>0</v>
      </c>
      <c r="AQ131">
        <v>0</v>
      </c>
      <c r="AR131">
        <v>0</v>
      </c>
      <c r="AS131" t="s">
        <v>6</v>
      </c>
      <c r="AT131">
        <v>2.04</v>
      </c>
      <c r="AU131" t="s">
        <v>6</v>
      </c>
      <c r="AV131">
        <v>0</v>
      </c>
      <c r="AW131">
        <v>2</v>
      </c>
      <c r="AX131">
        <v>16810430</v>
      </c>
      <c r="AY131">
        <v>1</v>
      </c>
      <c r="AZ131">
        <v>0</v>
      </c>
      <c r="BA131">
        <v>133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Y131*Source!I98</f>
        <v>3.3925200000000002</v>
      </c>
      <c r="CY131">
        <f>AA131</f>
        <v>0</v>
      </c>
      <c r="CZ131">
        <f>AE131</f>
        <v>0</v>
      </c>
      <c r="DA131">
        <f>AI131</f>
        <v>6.71</v>
      </c>
      <c r="DB131">
        <f>ROUND(ROUND(AT131*CZ131,2),2)</f>
        <v>0</v>
      </c>
      <c r="DC131">
        <f>ROUND(ROUND(AT131*AG131,2),2)</f>
        <v>0</v>
      </c>
    </row>
    <row r="132" spans="1:107" x14ac:dyDescent="0.2">
      <c r="A132">
        <f>ROW(Source!A98)</f>
        <v>98</v>
      </c>
      <c r="B132">
        <v>16808636</v>
      </c>
      <c r="C132">
        <v>16810417</v>
      </c>
      <c r="D132">
        <v>15172839</v>
      </c>
      <c r="E132">
        <v>1</v>
      </c>
      <c r="F132">
        <v>1</v>
      </c>
      <c r="G132">
        <v>1</v>
      </c>
      <c r="H132">
        <v>3</v>
      </c>
      <c r="I132" t="s">
        <v>256</v>
      </c>
      <c r="J132" t="s">
        <v>258</v>
      </c>
      <c r="K132" t="s">
        <v>257</v>
      </c>
      <c r="L132">
        <v>1339</v>
      </c>
      <c r="N132">
        <v>1007</v>
      </c>
      <c r="O132" t="s">
        <v>254</v>
      </c>
      <c r="P132" t="s">
        <v>254</v>
      </c>
      <c r="Q132">
        <v>1</v>
      </c>
      <c r="W132">
        <v>0</v>
      </c>
      <c r="X132">
        <v>121454568</v>
      </c>
      <c r="Y132">
        <v>2.04</v>
      </c>
      <c r="AA132">
        <v>4373.4399999999996</v>
      </c>
      <c r="AB132">
        <v>0</v>
      </c>
      <c r="AC132">
        <v>0</v>
      </c>
      <c r="AD132">
        <v>0</v>
      </c>
      <c r="AE132">
        <v>651.78</v>
      </c>
      <c r="AF132">
        <v>0</v>
      </c>
      <c r="AG132">
        <v>0</v>
      </c>
      <c r="AH132">
        <v>0</v>
      </c>
      <c r="AI132">
        <v>6.71</v>
      </c>
      <c r="AJ132">
        <v>1</v>
      </c>
      <c r="AK132">
        <v>1</v>
      </c>
      <c r="AL132">
        <v>1</v>
      </c>
      <c r="AN132">
        <v>0</v>
      </c>
      <c r="AO132">
        <v>0</v>
      </c>
      <c r="AP132">
        <v>0</v>
      </c>
      <c r="AQ132">
        <v>0</v>
      </c>
      <c r="AR132">
        <v>0</v>
      </c>
      <c r="AS132" t="s">
        <v>6</v>
      </c>
      <c r="AT132">
        <v>2.04</v>
      </c>
      <c r="AU132" t="s">
        <v>6</v>
      </c>
      <c r="AV132">
        <v>0</v>
      </c>
      <c r="AW132">
        <v>1</v>
      </c>
      <c r="AX132">
        <v>-1</v>
      </c>
      <c r="AY132">
        <v>0</v>
      </c>
      <c r="AZ132">
        <v>0</v>
      </c>
      <c r="BA132" t="s">
        <v>6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Y132*Source!I98</f>
        <v>3.3925200000000002</v>
      </c>
      <c r="CY132">
        <f>AA132</f>
        <v>4373.4399999999996</v>
      </c>
      <c r="CZ132">
        <f>AE132</f>
        <v>651.78</v>
      </c>
      <c r="DA132">
        <f>AI132</f>
        <v>6.71</v>
      </c>
      <c r="DB132">
        <f>ROUND(ROUND(AT132*CZ132,2),2)</f>
        <v>1329.63</v>
      </c>
      <c r="DC132">
        <f>ROUND(ROUND(AT132*AG132,2),2)</f>
        <v>0</v>
      </c>
    </row>
    <row r="133" spans="1:107" x14ac:dyDescent="0.2">
      <c r="A133">
        <f>ROW(Source!A101)</f>
        <v>101</v>
      </c>
      <c r="B133">
        <v>16808636</v>
      </c>
      <c r="C133">
        <v>16810433</v>
      </c>
      <c r="D133">
        <v>15430767</v>
      </c>
      <c r="E133">
        <v>1</v>
      </c>
      <c r="F133">
        <v>1</v>
      </c>
      <c r="G133">
        <v>1</v>
      </c>
      <c r="H133">
        <v>1</v>
      </c>
      <c r="I133" t="s">
        <v>792</v>
      </c>
      <c r="J133" t="s">
        <v>6</v>
      </c>
      <c r="K133" t="s">
        <v>793</v>
      </c>
      <c r="L133">
        <v>1191</v>
      </c>
      <c r="N133">
        <v>1013</v>
      </c>
      <c r="O133" t="s">
        <v>708</v>
      </c>
      <c r="P133" t="s">
        <v>708</v>
      </c>
      <c r="Q133">
        <v>1</v>
      </c>
      <c r="W133">
        <v>0</v>
      </c>
      <c r="X133">
        <v>-400197608</v>
      </c>
      <c r="Y133">
        <v>42.407400000000003</v>
      </c>
      <c r="AA133">
        <v>0</v>
      </c>
      <c r="AB133">
        <v>0</v>
      </c>
      <c r="AC133">
        <v>0</v>
      </c>
      <c r="AD133">
        <v>57.24</v>
      </c>
      <c r="AE133">
        <v>0</v>
      </c>
      <c r="AF133">
        <v>0</v>
      </c>
      <c r="AG133">
        <v>0</v>
      </c>
      <c r="AH133">
        <v>8.5299999999999994</v>
      </c>
      <c r="AI133">
        <v>1</v>
      </c>
      <c r="AJ133">
        <v>1</v>
      </c>
      <c r="AK133">
        <v>1</v>
      </c>
      <c r="AL133">
        <v>6.71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6</v>
      </c>
      <c r="AT133">
        <v>30.73</v>
      </c>
      <c r="AU133" t="s">
        <v>175</v>
      </c>
      <c r="AV133">
        <v>1</v>
      </c>
      <c r="AW133">
        <v>2</v>
      </c>
      <c r="AX133">
        <v>16810441</v>
      </c>
      <c r="AY133">
        <v>1</v>
      </c>
      <c r="AZ133">
        <v>0</v>
      </c>
      <c r="BA133">
        <v>134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Y133*Source!I101</f>
        <v>70.5235062</v>
      </c>
      <c r="CY133">
        <f>AD133</f>
        <v>57.24</v>
      </c>
      <c r="CZ133">
        <f>AH133</f>
        <v>8.5299999999999994</v>
      </c>
      <c r="DA133">
        <f>AL133</f>
        <v>6.71</v>
      </c>
      <c r="DB133">
        <f>ROUND(((ROUND(AT133*CZ133,2)*1.15)*1.2),2)</f>
        <v>361.74</v>
      </c>
      <c r="DC133">
        <f>ROUND(((ROUND(AT133*AG133,2)*1.15)*1.2),2)</f>
        <v>0</v>
      </c>
    </row>
    <row r="134" spans="1:107" x14ac:dyDescent="0.2">
      <c r="A134">
        <f>ROW(Source!A101)</f>
        <v>101</v>
      </c>
      <c r="B134">
        <v>16808636</v>
      </c>
      <c r="C134">
        <v>16810433</v>
      </c>
      <c r="D134">
        <v>15430395</v>
      </c>
      <c r="E134">
        <v>1</v>
      </c>
      <c r="F134">
        <v>1</v>
      </c>
      <c r="G134">
        <v>1</v>
      </c>
      <c r="H134">
        <v>1</v>
      </c>
      <c r="I134" t="s">
        <v>709</v>
      </c>
      <c r="J134" t="s">
        <v>6</v>
      </c>
      <c r="K134" t="s">
        <v>710</v>
      </c>
      <c r="L134">
        <v>1191</v>
      </c>
      <c r="N134">
        <v>1013</v>
      </c>
      <c r="O134" t="s">
        <v>708</v>
      </c>
      <c r="P134" t="s">
        <v>708</v>
      </c>
      <c r="Q134">
        <v>1</v>
      </c>
      <c r="W134">
        <v>0</v>
      </c>
      <c r="X134">
        <v>-1417349443</v>
      </c>
      <c r="Y134">
        <v>0.09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1</v>
      </c>
      <c r="AJ134">
        <v>1</v>
      </c>
      <c r="AK134">
        <v>6.71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6</v>
      </c>
      <c r="AT134">
        <v>0.09</v>
      </c>
      <c r="AU134" t="s">
        <v>6</v>
      </c>
      <c r="AV134">
        <v>2</v>
      </c>
      <c r="AW134">
        <v>2</v>
      </c>
      <c r="AX134">
        <v>16810442</v>
      </c>
      <c r="AY134">
        <v>1</v>
      </c>
      <c r="AZ134">
        <v>2048</v>
      </c>
      <c r="BA134">
        <v>135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Y134*Source!I101</f>
        <v>0.14967</v>
      </c>
      <c r="CY134">
        <f>AD134</f>
        <v>0</v>
      </c>
      <c r="CZ134">
        <f>AH134</f>
        <v>0</v>
      </c>
      <c r="DA134">
        <f>AL134</f>
        <v>1</v>
      </c>
      <c r="DB134">
        <f>ROUND(ROUND(AT134*CZ134,2),2)</f>
        <v>0</v>
      </c>
      <c r="DC134">
        <f>ROUND(ROUND(AT134*AG134,2),2)</f>
        <v>0</v>
      </c>
    </row>
    <row r="135" spans="1:107" x14ac:dyDescent="0.2">
      <c r="A135">
        <f>ROW(Source!A101)</f>
        <v>101</v>
      </c>
      <c r="B135">
        <v>16808636</v>
      </c>
      <c r="C135">
        <v>16810433</v>
      </c>
      <c r="D135">
        <v>15247970</v>
      </c>
      <c r="E135">
        <v>1</v>
      </c>
      <c r="F135">
        <v>1</v>
      </c>
      <c r="G135">
        <v>1</v>
      </c>
      <c r="H135">
        <v>2</v>
      </c>
      <c r="I135" t="s">
        <v>856</v>
      </c>
      <c r="J135" t="s">
        <v>857</v>
      </c>
      <c r="K135" t="s">
        <v>858</v>
      </c>
      <c r="L135">
        <v>1368</v>
      </c>
      <c r="N135">
        <v>1011</v>
      </c>
      <c r="O135" t="s">
        <v>714</v>
      </c>
      <c r="P135" t="s">
        <v>714</v>
      </c>
      <c r="Q135">
        <v>1</v>
      </c>
      <c r="W135">
        <v>0</v>
      </c>
      <c r="X135">
        <v>368031958</v>
      </c>
      <c r="Y135">
        <v>0.10500000000000001</v>
      </c>
      <c r="AA135">
        <v>0</v>
      </c>
      <c r="AB135">
        <v>185.6</v>
      </c>
      <c r="AC135">
        <v>11.6</v>
      </c>
      <c r="AD135">
        <v>0</v>
      </c>
      <c r="AE135">
        <v>0</v>
      </c>
      <c r="AF135">
        <v>27.66</v>
      </c>
      <c r="AG135">
        <v>11.6</v>
      </c>
      <c r="AH135">
        <v>0</v>
      </c>
      <c r="AI135">
        <v>1</v>
      </c>
      <c r="AJ135">
        <v>6.71</v>
      </c>
      <c r="AK135">
        <v>1</v>
      </c>
      <c r="AL135">
        <v>1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6</v>
      </c>
      <c r="AT135">
        <v>7.0000000000000007E-2</v>
      </c>
      <c r="AU135" t="s">
        <v>174</v>
      </c>
      <c r="AV135">
        <v>0</v>
      </c>
      <c r="AW135">
        <v>2</v>
      </c>
      <c r="AX135">
        <v>16810443</v>
      </c>
      <c r="AY135">
        <v>1</v>
      </c>
      <c r="AZ135">
        <v>0</v>
      </c>
      <c r="BA135">
        <v>136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Y135*Source!I101</f>
        <v>0.17461500000000002</v>
      </c>
      <c r="CY135">
        <f>AB135</f>
        <v>185.6</v>
      </c>
      <c r="CZ135">
        <f>AF135</f>
        <v>27.66</v>
      </c>
      <c r="DA135">
        <f>AJ135</f>
        <v>6.71</v>
      </c>
      <c r="DB135">
        <f>ROUND(((ROUND(AT135*CZ135,2)*1.25)*1.2),2)</f>
        <v>2.91</v>
      </c>
      <c r="DC135">
        <f>ROUND(((ROUND(AT135*AG135,2)*1.25)*1.2),2)</f>
        <v>1.22</v>
      </c>
    </row>
    <row r="136" spans="1:107" x14ac:dyDescent="0.2">
      <c r="A136">
        <f>ROW(Source!A101)</f>
        <v>101</v>
      </c>
      <c r="B136">
        <v>16808636</v>
      </c>
      <c r="C136">
        <v>16810433</v>
      </c>
      <c r="D136">
        <v>15249073</v>
      </c>
      <c r="E136">
        <v>1</v>
      </c>
      <c r="F136">
        <v>1</v>
      </c>
      <c r="G136">
        <v>1</v>
      </c>
      <c r="H136">
        <v>2</v>
      </c>
      <c r="I136" t="s">
        <v>724</v>
      </c>
      <c r="J136" t="s">
        <v>725</v>
      </c>
      <c r="K136" t="s">
        <v>726</v>
      </c>
      <c r="L136">
        <v>1368</v>
      </c>
      <c r="N136">
        <v>1011</v>
      </c>
      <c r="O136" t="s">
        <v>714</v>
      </c>
      <c r="P136" t="s">
        <v>714</v>
      </c>
      <c r="Q136">
        <v>1</v>
      </c>
      <c r="W136">
        <v>0</v>
      </c>
      <c r="X136">
        <v>1372534845</v>
      </c>
      <c r="Y136">
        <v>0.03</v>
      </c>
      <c r="AA136">
        <v>0</v>
      </c>
      <c r="AB136">
        <v>440.91</v>
      </c>
      <c r="AC136">
        <v>11.6</v>
      </c>
      <c r="AD136">
        <v>0</v>
      </c>
      <c r="AE136">
        <v>0</v>
      </c>
      <c r="AF136">
        <v>65.709999999999994</v>
      </c>
      <c r="AG136">
        <v>11.6</v>
      </c>
      <c r="AH136">
        <v>0</v>
      </c>
      <c r="AI136">
        <v>1</v>
      </c>
      <c r="AJ136">
        <v>6.71</v>
      </c>
      <c r="AK136">
        <v>1</v>
      </c>
      <c r="AL136">
        <v>1</v>
      </c>
      <c r="AN136">
        <v>0</v>
      </c>
      <c r="AO136">
        <v>1</v>
      </c>
      <c r="AP136">
        <v>1</v>
      </c>
      <c r="AQ136">
        <v>0</v>
      </c>
      <c r="AR136">
        <v>0</v>
      </c>
      <c r="AS136" t="s">
        <v>6</v>
      </c>
      <c r="AT136">
        <v>0.02</v>
      </c>
      <c r="AU136" t="s">
        <v>174</v>
      </c>
      <c r="AV136">
        <v>0</v>
      </c>
      <c r="AW136">
        <v>2</v>
      </c>
      <c r="AX136">
        <v>16810444</v>
      </c>
      <c r="AY136">
        <v>1</v>
      </c>
      <c r="AZ136">
        <v>0</v>
      </c>
      <c r="BA136">
        <v>137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Y136*Source!I101</f>
        <v>4.9889999999999997E-2</v>
      </c>
      <c r="CY136">
        <f>AB136</f>
        <v>440.91</v>
      </c>
      <c r="CZ136">
        <f>AF136</f>
        <v>65.709999999999994</v>
      </c>
      <c r="DA136">
        <f>AJ136</f>
        <v>6.71</v>
      </c>
      <c r="DB136">
        <f>ROUND(((ROUND(AT136*CZ136,2)*1.25)*1.2),2)</f>
        <v>1.97</v>
      </c>
      <c r="DC136">
        <f>ROUND(((ROUND(AT136*AG136,2)*1.25)*1.2),2)</f>
        <v>0.35</v>
      </c>
    </row>
    <row r="137" spans="1:107" x14ac:dyDescent="0.2">
      <c r="A137">
        <f>ROW(Source!A101)</f>
        <v>101</v>
      </c>
      <c r="B137">
        <v>16808636</v>
      </c>
      <c r="C137">
        <v>16810433</v>
      </c>
      <c r="D137">
        <v>15167286</v>
      </c>
      <c r="E137">
        <v>1</v>
      </c>
      <c r="F137">
        <v>1</v>
      </c>
      <c r="G137">
        <v>1</v>
      </c>
      <c r="H137">
        <v>3</v>
      </c>
      <c r="I137" t="s">
        <v>781</v>
      </c>
      <c r="J137" t="s">
        <v>782</v>
      </c>
      <c r="K137" t="s">
        <v>783</v>
      </c>
      <c r="L137">
        <v>1339</v>
      </c>
      <c r="N137">
        <v>1007</v>
      </c>
      <c r="O137" t="s">
        <v>254</v>
      </c>
      <c r="P137" t="s">
        <v>254</v>
      </c>
      <c r="Q137">
        <v>1</v>
      </c>
      <c r="W137">
        <v>0</v>
      </c>
      <c r="X137">
        <v>-1660354250</v>
      </c>
      <c r="Y137">
        <v>0.16</v>
      </c>
      <c r="AA137">
        <v>16.37</v>
      </c>
      <c r="AB137">
        <v>0</v>
      </c>
      <c r="AC137">
        <v>0</v>
      </c>
      <c r="AD137">
        <v>0</v>
      </c>
      <c r="AE137">
        <v>2.44</v>
      </c>
      <c r="AF137">
        <v>0</v>
      </c>
      <c r="AG137">
        <v>0</v>
      </c>
      <c r="AH137">
        <v>0</v>
      </c>
      <c r="AI137">
        <v>6.71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6</v>
      </c>
      <c r="AT137">
        <v>0.16</v>
      </c>
      <c r="AU137" t="s">
        <v>6</v>
      </c>
      <c r="AV137">
        <v>0</v>
      </c>
      <c r="AW137">
        <v>2</v>
      </c>
      <c r="AX137">
        <v>16810445</v>
      </c>
      <c r="AY137">
        <v>1</v>
      </c>
      <c r="AZ137">
        <v>0</v>
      </c>
      <c r="BA137">
        <v>138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Y137*Source!I101</f>
        <v>0.26607999999999998</v>
      </c>
      <c r="CY137">
        <f>AA137</f>
        <v>16.37</v>
      </c>
      <c r="CZ137">
        <f>AE137</f>
        <v>2.44</v>
      </c>
      <c r="DA137">
        <f>AI137</f>
        <v>6.71</v>
      </c>
      <c r="DB137">
        <f>ROUND(ROUND(AT137*CZ137,2),2)</f>
        <v>0.39</v>
      </c>
      <c r="DC137">
        <f>ROUND(ROUND(AT137*AG137,2),2)</f>
        <v>0</v>
      </c>
    </row>
    <row r="138" spans="1:107" x14ac:dyDescent="0.2">
      <c r="A138">
        <f>ROW(Source!A101)</f>
        <v>101</v>
      </c>
      <c r="B138">
        <v>16808636</v>
      </c>
      <c r="C138">
        <v>16810433</v>
      </c>
      <c r="D138">
        <v>15172903</v>
      </c>
      <c r="E138">
        <v>1</v>
      </c>
      <c r="F138">
        <v>1</v>
      </c>
      <c r="G138">
        <v>1</v>
      </c>
      <c r="H138">
        <v>3</v>
      </c>
      <c r="I138" t="s">
        <v>859</v>
      </c>
      <c r="J138" t="s">
        <v>860</v>
      </c>
      <c r="K138" t="s">
        <v>861</v>
      </c>
      <c r="L138">
        <v>1348</v>
      </c>
      <c r="N138">
        <v>1009</v>
      </c>
      <c r="O138" t="s">
        <v>104</v>
      </c>
      <c r="P138" t="s">
        <v>104</v>
      </c>
      <c r="Q138">
        <v>1000</v>
      </c>
      <c r="W138">
        <v>0</v>
      </c>
      <c r="X138">
        <v>1150528328</v>
      </c>
      <c r="Y138">
        <v>0.45</v>
      </c>
      <c r="AA138">
        <v>78413.06</v>
      </c>
      <c r="AB138">
        <v>0</v>
      </c>
      <c r="AC138">
        <v>0</v>
      </c>
      <c r="AD138">
        <v>0</v>
      </c>
      <c r="AE138">
        <v>11686</v>
      </c>
      <c r="AF138">
        <v>0</v>
      </c>
      <c r="AG138">
        <v>0</v>
      </c>
      <c r="AH138">
        <v>0</v>
      </c>
      <c r="AI138">
        <v>6.71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6</v>
      </c>
      <c r="AT138">
        <v>0.45</v>
      </c>
      <c r="AU138" t="s">
        <v>6</v>
      </c>
      <c r="AV138">
        <v>0</v>
      </c>
      <c r="AW138">
        <v>2</v>
      </c>
      <c r="AX138">
        <v>16810446</v>
      </c>
      <c r="AY138">
        <v>1</v>
      </c>
      <c r="AZ138">
        <v>0</v>
      </c>
      <c r="BA138">
        <v>139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Y138*Source!I101</f>
        <v>0.74835000000000007</v>
      </c>
      <c r="CY138">
        <f>AA138</f>
        <v>78413.06</v>
      </c>
      <c r="CZ138">
        <f>AE138</f>
        <v>11686</v>
      </c>
      <c r="DA138">
        <f>AI138</f>
        <v>6.71</v>
      </c>
      <c r="DB138">
        <f>ROUND(ROUND(AT138*CZ138,2),2)</f>
        <v>5258.7</v>
      </c>
      <c r="DC138">
        <f>ROUND(ROUND(AT138*AG138,2),2)</f>
        <v>0</v>
      </c>
    </row>
    <row r="139" spans="1:107" x14ac:dyDescent="0.2">
      <c r="A139">
        <f>ROW(Source!A101)</f>
        <v>101</v>
      </c>
      <c r="B139">
        <v>16808636</v>
      </c>
      <c r="C139">
        <v>16810433</v>
      </c>
      <c r="D139">
        <v>15203485</v>
      </c>
      <c r="E139">
        <v>1</v>
      </c>
      <c r="F139">
        <v>1</v>
      </c>
      <c r="G139">
        <v>1</v>
      </c>
      <c r="H139">
        <v>3</v>
      </c>
      <c r="I139" t="s">
        <v>862</v>
      </c>
      <c r="J139" t="s">
        <v>863</v>
      </c>
      <c r="K139" t="s">
        <v>864</v>
      </c>
      <c r="L139">
        <v>1346</v>
      </c>
      <c r="N139">
        <v>1009</v>
      </c>
      <c r="O139" t="s">
        <v>300</v>
      </c>
      <c r="P139" t="s">
        <v>300</v>
      </c>
      <c r="Q139">
        <v>1</v>
      </c>
      <c r="W139">
        <v>0</v>
      </c>
      <c r="X139">
        <v>303141801</v>
      </c>
      <c r="Y139">
        <v>30</v>
      </c>
      <c r="AA139">
        <v>102.33</v>
      </c>
      <c r="AB139">
        <v>0</v>
      </c>
      <c r="AC139">
        <v>0</v>
      </c>
      <c r="AD139">
        <v>0</v>
      </c>
      <c r="AE139">
        <v>15.25</v>
      </c>
      <c r="AF139">
        <v>0</v>
      </c>
      <c r="AG139">
        <v>0</v>
      </c>
      <c r="AH139">
        <v>0</v>
      </c>
      <c r="AI139">
        <v>6.71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6</v>
      </c>
      <c r="AT139">
        <v>30</v>
      </c>
      <c r="AU139" t="s">
        <v>6</v>
      </c>
      <c r="AV139">
        <v>0</v>
      </c>
      <c r="AW139">
        <v>2</v>
      </c>
      <c r="AX139">
        <v>16810447</v>
      </c>
      <c r="AY139">
        <v>1</v>
      </c>
      <c r="AZ139">
        <v>0</v>
      </c>
      <c r="BA139">
        <v>140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Y139*Source!I101</f>
        <v>49.89</v>
      </c>
      <c r="CY139">
        <f>AA139</f>
        <v>102.33</v>
      </c>
      <c r="CZ139">
        <f>AE139</f>
        <v>15.25</v>
      </c>
      <c r="DA139">
        <f>AI139</f>
        <v>6.71</v>
      </c>
      <c r="DB139">
        <f>ROUND(ROUND(AT139*CZ139,2),2)</f>
        <v>457.5</v>
      </c>
      <c r="DC139">
        <f>ROUND(ROUND(AT139*AG139,2),2)</f>
        <v>0</v>
      </c>
    </row>
    <row r="140" spans="1:107" x14ac:dyDescent="0.2">
      <c r="A140">
        <f>ROW(Source!A102)</f>
        <v>102</v>
      </c>
      <c r="B140">
        <v>16808636</v>
      </c>
      <c r="C140">
        <v>16810448</v>
      </c>
      <c r="D140">
        <v>15432356</v>
      </c>
      <c r="E140">
        <v>1</v>
      </c>
      <c r="F140">
        <v>1</v>
      </c>
      <c r="G140">
        <v>1</v>
      </c>
      <c r="H140">
        <v>1</v>
      </c>
      <c r="I140" t="s">
        <v>794</v>
      </c>
      <c r="J140" t="s">
        <v>6</v>
      </c>
      <c r="K140" t="s">
        <v>795</v>
      </c>
      <c r="L140">
        <v>1191</v>
      </c>
      <c r="N140">
        <v>1013</v>
      </c>
      <c r="O140" t="s">
        <v>708</v>
      </c>
      <c r="P140" t="s">
        <v>708</v>
      </c>
      <c r="Q140">
        <v>1</v>
      </c>
      <c r="W140">
        <v>0</v>
      </c>
      <c r="X140">
        <v>1850719656</v>
      </c>
      <c r="Y140">
        <v>43.345799999999997</v>
      </c>
      <c r="AA140">
        <v>0</v>
      </c>
      <c r="AB140">
        <v>0</v>
      </c>
      <c r="AC140">
        <v>0</v>
      </c>
      <c r="AD140">
        <v>55.76</v>
      </c>
      <c r="AE140">
        <v>0</v>
      </c>
      <c r="AF140">
        <v>0</v>
      </c>
      <c r="AG140">
        <v>0</v>
      </c>
      <c r="AH140">
        <v>8.31</v>
      </c>
      <c r="AI140">
        <v>1</v>
      </c>
      <c r="AJ140">
        <v>1</v>
      </c>
      <c r="AK140">
        <v>1</v>
      </c>
      <c r="AL140">
        <v>6.71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6</v>
      </c>
      <c r="AT140">
        <v>31.41</v>
      </c>
      <c r="AU140" t="s">
        <v>175</v>
      </c>
      <c r="AV140">
        <v>1</v>
      </c>
      <c r="AW140">
        <v>2</v>
      </c>
      <c r="AX140">
        <v>16810458</v>
      </c>
      <c r="AY140">
        <v>1</v>
      </c>
      <c r="AZ140">
        <v>0</v>
      </c>
      <c r="BA140">
        <v>141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Y140*Source!I102</f>
        <v>51.148043999999992</v>
      </c>
      <c r="CY140">
        <f>AD140</f>
        <v>55.76</v>
      </c>
      <c r="CZ140">
        <f>AH140</f>
        <v>8.31</v>
      </c>
      <c r="DA140">
        <f>AL140</f>
        <v>6.71</v>
      </c>
      <c r="DB140">
        <f>ROUND(((ROUND(AT140*CZ140,2)*1.15)*1.2),2)</f>
        <v>360.21</v>
      </c>
      <c r="DC140">
        <f>ROUND(((ROUND(AT140*AG140,2)*1.15)*1.2),2)</f>
        <v>0</v>
      </c>
    </row>
    <row r="141" spans="1:107" x14ac:dyDescent="0.2">
      <c r="A141">
        <f>ROW(Source!A102)</f>
        <v>102</v>
      </c>
      <c r="B141">
        <v>16808636</v>
      </c>
      <c r="C141">
        <v>16810448</v>
      </c>
      <c r="D141">
        <v>15430395</v>
      </c>
      <c r="E141">
        <v>1</v>
      </c>
      <c r="F141">
        <v>1</v>
      </c>
      <c r="G141">
        <v>1</v>
      </c>
      <c r="H141">
        <v>1</v>
      </c>
      <c r="I141" t="s">
        <v>709</v>
      </c>
      <c r="J141" t="s">
        <v>6</v>
      </c>
      <c r="K141" t="s">
        <v>710</v>
      </c>
      <c r="L141">
        <v>1191</v>
      </c>
      <c r="N141">
        <v>1013</v>
      </c>
      <c r="O141" t="s">
        <v>708</v>
      </c>
      <c r="P141" t="s">
        <v>708</v>
      </c>
      <c r="Q141">
        <v>1</v>
      </c>
      <c r="W141">
        <v>0</v>
      </c>
      <c r="X141">
        <v>-1417349443</v>
      </c>
      <c r="Y141">
        <v>0.82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6.71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6</v>
      </c>
      <c r="AT141">
        <v>0.82</v>
      </c>
      <c r="AU141" t="s">
        <v>6</v>
      </c>
      <c r="AV141">
        <v>2</v>
      </c>
      <c r="AW141">
        <v>2</v>
      </c>
      <c r="AX141">
        <v>16810459</v>
      </c>
      <c r="AY141">
        <v>1</v>
      </c>
      <c r="AZ141">
        <v>2048</v>
      </c>
      <c r="BA141">
        <v>142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Y141*Source!I102</f>
        <v>0.9675999999999999</v>
      </c>
      <c r="CY141">
        <f>AD141</f>
        <v>0</v>
      </c>
      <c r="CZ141">
        <f>AH141</f>
        <v>0</v>
      </c>
      <c r="DA141">
        <f>AL141</f>
        <v>1</v>
      </c>
      <c r="DB141">
        <f>ROUND(ROUND(AT141*CZ141,2),2)</f>
        <v>0</v>
      </c>
      <c r="DC141">
        <f>ROUND(ROUND(AT141*AG141,2),2)</f>
        <v>0</v>
      </c>
    </row>
    <row r="142" spans="1:107" x14ac:dyDescent="0.2">
      <c r="A142">
        <f>ROW(Source!A102)</f>
        <v>102</v>
      </c>
      <c r="B142">
        <v>16808636</v>
      </c>
      <c r="C142">
        <v>16810448</v>
      </c>
      <c r="D142">
        <v>15247974</v>
      </c>
      <c r="E142">
        <v>1</v>
      </c>
      <c r="F142">
        <v>1</v>
      </c>
      <c r="G142">
        <v>1</v>
      </c>
      <c r="H142">
        <v>2</v>
      </c>
      <c r="I142" t="s">
        <v>711</v>
      </c>
      <c r="J142" t="s">
        <v>712</v>
      </c>
      <c r="K142" t="s">
        <v>713</v>
      </c>
      <c r="L142">
        <v>1368</v>
      </c>
      <c r="N142">
        <v>1011</v>
      </c>
      <c r="O142" t="s">
        <v>714</v>
      </c>
      <c r="P142" t="s">
        <v>714</v>
      </c>
      <c r="Q142">
        <v>1</v>
      </c>
      <c r="W142">
        <v>0</v>
      </c>
      <c r="X142">
        <v>1188625873</v>
      </c>
      <c r="Y142">
        <v>0.51</v>
      </c>
      <c r="AA142">
        <v>0</v>
      </c>
      <c r="AB142">
        <v>209.75</v>
      </c>
      <c r="AC142">
        <v>13.5</v>
      </c>
      <c r="AD142">
        <v>0</v>
      </c>
      <c r="AE142">
        <v>0</v>
      </c>
      <c r="AF142">
        <v>31.26</v>
      </c>
      <c r="AG142">
        <v>13.5</v>
      </c>
      <c r="AH142">
        <v>0</v>
      </c>
      <c r="AI142">
        <v>1</v>
      </c>
      <c r="AJ142">
        <v>6.71</v>
      </c>
      <c r="AK142">
        <v>1</v>
      </c>
      <c r="AL142">
        <v>1</v>
      </c>
      <c r="AN142">
        <v>0</v>
      </c>
      <c r="AO142">
        <v>1</v>
      </c>
      <c r="AP142">
        <v>1</v>
      </c>
      <c r="AQ142">
        <v>0</v>
      </c>
      <c r="AR142">
        <v>0</v>
      </c>
      <c r="AS142" t="s">
        <v>6</v>
      </c>
      <c r="AT142">
        <v>0.34</v>
      </c>
      <c r="AU142" t="s">
        <v>174</v>
      </c>
      <c r="AV142">
        <v>0</v>
      </c>
      <c r="AW142">
        <v>2</v>
      </c>
      <c r="AX142">
        <v>16810460</v>
      </c>
      <c r="AY142">
        <v>1</v>
      </c>
      <c r="AZ142">
        <v>0</v>
      </c>
      <c r="BA142">
        <v>143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Y142*Source!I102</f>
        <v>0.6018</v>
      </c>
      <c r="CY142">
        <f>AB142</f>
        <v>209.75</v>
      </c>
      <c r="CZ142">
        <f>AF142</f>
        <v>31.26</v>
      </c>
      <c r="DA142">
        <f>AJ142</f>
        <v>6.71</v>
      </c>
      <c r="DB142">
        <f>ROUND(((ROUND(AT142*CZ142,2)*1.25)*1.2),2)</f>
        <v>15.95</v>
      </c>
      <c r="DC142">
        <f>ROUND(((ROUND(AT142*AG142,2)*1.25)*1.2),2)</f>
        <v>6.89</v>
      </c>
    </row>
    <row r="143" spans="1:107" x14ac:dyDescent="0.2">
      <c r="A143">
        <f>ROW(Source!A102)</f>
        <v>102</v>
      </c>
      <c r="B143">
        <v>16808636</v>
      </c>
      <c r="C143">
        <v>16810448</v>
      </c>
      <c r="D143">
        <v>15249073</v>
      </c>
      <c r="E143">
        <v>1</v>
      </c>
      <c r="F143">
        <v>1</v>
      </c>
      <c r="G143">
        <v>1</v>
      </c>
      <c r="H143">
        <v>2</v>
      </c>
      <c r="I143" t="s">
        <v>724</v>
      </c>
      <c r="J143" t="s">
        <v>725</v>
      </c>
      <c r="K143" t="s">
        <v>726</v>
      </c>
      <c r="L143">
        <v>1368</v>
      </c>
      <c r="N143">
        <v>1011</v>
      </c>
      <c r="O143" t="s">
        <v>714</v>
      </c>
      <c r="P143" t="s">
        <v>714</v>
      </c>
      <c r="Q143">
        <v>1</v>
      </c>
      <c r="W143">
        <v>0</v>
      </c>
      <c r="X143">
        <v>1372534845</v>
      </c>
      <c r="Y143">
        <v>0.72</v>
      </c>
      <c r="AA143">
        <v>0</v>
      </c>
      <c r="AB143">
        <v>440.91</v>
      </c>
      <c r="AC143">
        <v>11.6</v>
      </c>
      <c r="AD143">
        <v>0</v>
      </c>
      <c r="AE143">
        <v>0</v>
      </c>
      <c r="AF143">
        <v>65.709999999999994</v>
      </c>
      <c r="AG143">
        <v>11.6</v>
      </c>
      <c r="AH143">
        <v>0</v>
      </c>
      <c r="AI143">
        <v>1</v>
      </c>
      <c r="AJ143">
        <v>6.71</v>
      </c>
      <c r="AK143">
        <v>1</v>
      </c>
      <c r="AL143">
        <v>1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6</v>
      </c>
      <c r="AT143">
        <v>0.48</v>
      </c>
      <c r="AU143" t="s">
        <v>174</v>
      </c>
      <c r="AV143">
        <v>0</v>
      </c>
      <c r="AW143">
        <v>2</v>
      </c>
      <c r="AX143">
        <v>16810461</v>
      </c>
      <c r="AY143">
        <v>1</v>
      </c>
      <c r="AZ143">
        <v>0</v>
      </c>
      <c r="BA143">
        <v>144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Y143*Source!I102</f>
        <v>0.84959999999999991</v>
      </c>
      <c r="CY143">
        <f>AB143</f>
        <v>440.91</v>
      </c>
      <c r="CZ143">
        <f>AF143</f>
        <v>65.709999999999994</v>
      </c>
      <c r="DA143">
        <f>AJ143</f>
        <v>6.71</v>
      </c>
      <c r="DB143">
        <f>ROUND(((ROUND(AT143*CZ143,2)*1.25)*1.2),2)</f>
        <v>47.31</v>
      </c>
      <c r="DC143">
        <f>ROUND(((ROUND(AT143*AG143,2)*1.25)*1.2),2)</f>
        <v>8.36</v>
      </c>
    </row>
    <row r="144" spans="1:107" x14ac:dyDescent="0.2">
      <c r="A144">
        <f>ROW(Source!A102)</f>
        <v>102</v>
      </c>
      <c r="B144">
        <v>16808636</v>
      </c>
      <c r="C144">
        <v>16810448</v>
      </c>
      <c r="D144">
        <v>15250178</v>
      </c>
      <c r="E144">
        <v>1</v>
      </c>
      <c r="F144">
        <v>1</v>
      </c>
      <c r="G144">
        <v>1</v>
      </c>
      <c r="H144">
        <v>2</v>
      </c>
      <c r="I144" t="s">
        <v>865</v>
      </c>
      <c r="J144" t="s">
        <v>866</v>
      </c>
      <c r="K144" t="s">
        <v>867</v>
      </c>
      <c r="L144">
        <v>1368</v>
      </c>
      <c r="N144">
        <v>1011</v>
      </c>
      <c r="O144" t="s">
        <v>714</v>
      </c>
      <c r="P144" t="s">
        <v>714</v>
      </c>
      <c r="Q144">
        <v>1</v>
      </c>
      <c r="W144">
        <v>0</v>
      </c>
      <c r="X144">
        <v>-1624207669</v>
      </c>
      <c r="Y144">
        <v>7.9499999999999993</v>
      </c>
      <c r="AA144">
        <v>0</v>
      </c>
      <c r="AB144">
        <v>22.81</v>
      </c>
      <c r="AC144">
        <v>0</v>
      </c>
      <c r="AD144">
        <v>0</v>
      </c>
      <c r="AE144">
        <v>0</v>
      </c>
      <c r="AF144">
        <v>3.4</v>
      </c>
      <c r="AG144">
        <v>0</v>
      </c>
      <c r="AH144">
        <v>0</v>
      </c>
      <c r="AI144">
        <v>1</v>
      </c>
      <c r="AJ144">
        <v>6.71</v>
      </c>
      <c r="AK144">
        <v>1</v>
      </c>
      <c r="AL144">
        <v>1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6</v>
      </c>
      <c r="AT144">
        <v>5.3</v>
      </c>
      <c r="AU144" t="s">
        <v>174</v>
      </c>
      <c r="AV144">
        <v>0</v>
      </c>
      <c r="AW144">
        <v>2</v>
      </c>
      <c r="AX144">
        <v>16810462</v>
      </c>
      <c r="AY144">
        <v>1</v>
      </c>
      <c r="AZ144">
        <v>0</v>
      </c>
      <c r="BA144">
        <v>145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Y144*Source!I102</f>
        <v>9.3809999999999985</v>
      </c>
      <c r="CY144">
        <f>AB144</f>
        <v>22.81</v>
      </c>
      <c r="CZ144">
        <f>AF144</f>
        <v>3.4</v>
      </c>
      <c r="DA144">
        <f>AJ144</f>
        <v>6.71</v>
      </c>
      <c r="DB144">
        <f>ROUND(((ROUND(AT144*CZ144,2)*1.25)*1.2),2)</f>
        <v>27.03</v>
      </c>
      <c r="DC144">
        <f>ROUND(((ROUND(AT144*AG144,2)*1.25)*1.2),2)</f>
        <v>0</v>
      </c>
    </row>
    <row r="145" spans="1:107" x14ac:dyDescent="0.2">
      <c r="A145">
        <f>ROW(Source!A102)</f>
        <v>102</v>
      </c>
      <c r="B145">
        <v>16808636</v>
      </c>
      <c r="C145">
        <v>16810448</v>
      </c>
      <c r="D145">
        <v>15162736</v>
      </c>
      <c r="E145">
        <v>17</v>
      </c>
      <c r="F145">
        <v>1</v>
      </c>
      <c r="G145">
        <v>1</v>
      </c>
      <c r="H145">
        <v>3</v>
      </c>
      <c r="I145" t="s">
        <v>268</v>
      </c>
      <c r="J145" t="s">
        <v>6</v>
      </c>
      <c r="K145" t="s">
        <v>269</v>
      </c>
      <c r="L145">
        <v>1327</v>
      </c>
      <c r="N145">
        <v>1005</v>
      </c>
      <c r="O145" t="s">
        <v>190</v>
      </c>
      <c r="P145" t="s">
        <v>190</v>
      </c>
      <c r="Q145">
        <v>1</v>
      </c>
      <c r="W145">
        <v>0</v>
      </c>
      <c r="X145">
        <v>-919469713</v>
      </c>
      <c r="Y145">
        <v>102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6.71</v>
      </c>
      <c r="AJ145">
        <v>1</v>
      </c>
      <c r="AK145">
        <v>1</v>
      </c>
      <c r="AL145">
        <v>1</v>
      </c>
      <c r="AN145">
        <v>0</v>
      </c>
      <c r="AO145">
        <v>0</v>
      </c>
      <c r="AP145">
        <v>0</v>
      </c>
      <c r="AQ145">
        <v>0</v>
      </c>
      <c r="AR145">
        <v>0</v>
      </c>
      <c r="AS145" t="s">
        <v>6</v>
      </c>
      <c r="AT145">
        <v>102</v>
      </c>
      <c r="AU145" t="s">
        <v>6</v>
      </c>
      <c r="AV145">
        <v>0</v>
      </c>
      <c r="AW145">
        <v>2</v>
      </c>
      <c r="AX145">
        <v>16810463</v>
      </c>
      <c r="AY145">
        <v>1</v>
      </c>
      <c r="AZ145">
        <v>0</v>
      </c>
      <c r="BA145">
        <v>146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Y145*Source!I102</f>
        <v>120.36</v>
      </c>
      <c r="CY145">
        <f>AA145</f>
        <v>0</v>
      </c>
      <c r="CZ145">
        <f>AE145</f>
        <v>0</v>
      </c>
      <c r="DA145">
        <f>AI145</f>
        <v>6.71</v>
      </c>
      <c r="DB145">
        <f>ROUND(ROUND(AT145*CZ145,2),2)</f>
        <v>0</v>
      </c>
      <c r="DC145">
        <f>ROUND(ROUND(AT145*AG145,2),2)</f>
        <v>0</v>
      </c>
    </row>
    <row r="146" spans="1:107" x14ac:dyDescent="0.2">
      <c r="A146">
        <f>ROW(Source!A102)</f>
        <v>102</v>
      </c>
      <c r="B146">
        <v>16808636</v>
      </c>
      <c r="C146">
        <v>16810448</v>
      </c>
      <c r="D146">
        <v>15167023</v>
      </c>
      <c r="E146">
        <v>1</v>
      </c>
      <c r="F146">
        <v>1</v>
      </c>
      <c r="G146">
        <v>1</v>
      </c>
      <c r="H146">
        <v>3</v>
      </c>
      <c r="I146" t="s">
        <v>271</v>
      </c>
      <c r="J146" t="s">
        <v>273</v>
      </c>
      <c r="K146" t="s">
        <v>272</v>
      </c>
      <c r="L146">
        <v>1327</v>
      </c>
      <c r="N146">
        <v>1005</v>
      </c>
      <c r="O146" t="s">
        <v>190</v>
      </c>
      <c r="P146" t="s">
        <v>190</v>
      </c>
      <c r="Q146">
        <v>1</v>
      </c>
      <c r="W146">
        <v>0</v>
      </c>
      <c r="X146">
        <v>2096096043</v>
      </c>
      <c r="Y146">
        <v>102</v>
      </c>
      <c r="AA146">
        <v>2012.66</v>
      </c>
      <c r="AB146">
        <v>0</v>
      </c>
      <c r="AC146">
        <v>0</v>
      </c>
      <c r="AD146">
        <v>0</v>
      </c>
      <c r="AE146">
        <v>299.95</v>
      </c>
      <c r="AF146">
        <v>0</v>
      </c>
      <c r="AG146">
        <v>0</v>
      </c>
      <c r="AH146">
        <v>0</v>
      </c>
      <c r="AI146">
        <v>6.71</v>
      </c>
      <c r="AJ146">
        <v>1</v>
      </c>
      <c r="AK146">
        <v>1</v>
      </c>
      <c r="AL146">
        <v>1</v>
      </c>
      <c r="AN146">
        <v>0</v>
      </c>
      <c r="AO146">
        <v>0</v>
      </c>
      <c r="AP146">
        <v>0</v>
      </c>
      <c r="AQ146">
        <v>0</v>
      </c>
      <c r="AR146">
        <v>0</v>
      </c>
      <c r="AS146" t="s">
        <v>6</v>
      </c>
      <c r="AT146">
        <v>102</v>
      </c>
      <c r="AU146" t="s">
        <v>6</v>
      </c>
      <c r="AV146">
        <v>0</v>
      </c>
      <c r="AW146">
        <v>1</v>
      </c>
      <c r="AX146">
        <v>-1</v>
      </c>
      <c r="AY146">
        <v>0</v>
      </c>
      <c r="AZ146">
        <v>0</v>
      </c>
      <c r="BA146" t="s">
        <v>6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Y146*Source!I102</f>
        <v>120.36</v>
      </c>
      <c r="CY146">
        <f>AA146</f>
        <v>2012.66</v>
      </c>
      <c r="CZ146">
        <f>AE146</f>
        <v>299.95</v>
      </c>
      <c r="DA146">
        <f>AI146</f>
        <v>6.71</v>
      </c>
      <c r="DB146">
        <f>ROUND(ROUND(AT146*CZ146,2),2)</f>
        <v>30594.9</v>
      </c>
      <c r="DC146">
        <f>ROUND(ROUND(AT146*AG146,2),2)</f>
        <v>0</v>
      </c>
    </row>
    <row r="147" spans="1:107" x14ac:dyDescent="0.2">
      <c r="A147">
        <f>ROW(Source!A102)</f>
        <v>102</v>
      </c>
      <c r="B147">
        <v>16808636</v>
      </c>
      <c r="C147">
        <v>16810448</v>
      </c>
      <c r="D147">
        <v>15162739</v>
      </c>
      <c r="E147">
        <v>17</v>
      </c>
      <c r="F147">
        <v>1</v>
      </c>
      <c r="G147">
        <v>1</v>
      </c>
      <c r="H147">
        <v>3</v>
      </c>
      <c r="I147" t="s">
        <v>279</v>
      </c>
      <c r="J147" t="s">
        <v>6</v>
      </c>
      <c r="K147" t="s">
        <v>280</v>
      </c>
      <c r="L147">
        <v>1308</v>
      </c>
      <c r="N147">
        <v>1003</v>
      </c>
      <c r="O147" t="s">
        <v>40</v>
      </c>
      <c r="P147" t="s">
        <v>40</v>
      </c>
      <c r="Q147">
        <v>100</v>
      </c>
      <c r="W147">
        <v>0</v>
      </c>
      <c r="X147">
        <v>1552293167</v>
      </c>
      <c r="Y147">
        <v>0.68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6.71</v>
      </c>
      <c r="AJ147">
        <v>1</v>
      </c>
      <c r="AK147">
        <v>1</v>
      </c>
      <c r="AL147">
        <v>1</v>
      </c>
      <c r="AN147">
        <v>0</v>
      </c>
      <c r="AO147">
        <v>0</v>
      </c>
      <c r="AP147">
        <v>0</v>
      </c>
      <c r="AQ147">
        <v>0</v>
      </c>
      <c r="AR147">
        <v>0</v>
      </c>
      <c r="AS147" t="s">
        <v>6</v>
      </c>
      <c r="AT147">
        <v>0.68</v>
      </c>
      <c r="AU147" t="s">
        <v>6</v>
      </c>
      <c r="AV147">
        <v>0</v>
      </c>
      <c r="AW147">
        <v>2</v>
      </c>
      <c r="AX147">
        <v>16810464</v>
      </c>
      <c r="AY147">
        <v>1</v>
      </c>
      <c r="AZ147">
        <v>0</v>
      </c>
      <c r="BA147">
        <v>147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Y147*Source!I102</f>
        <v>0.8024</v>
      </c>
      <c r="CY147">
        <f>AA147</f>
        <v>0</v>
      </c>
      <c r="CZ147">
        <f>AE147</f>
        <v>0</v>
      </c>
      <c r="DA147">
        <f>AI147</f>
        <v>6.71</v>
      </c>
      <c r="DB147">
        <f>ROUND(ROUND(AT147*CZ147,2),2)</f>
        <v>0</v>
      </c>
      <c r="DC147">
        <f>ROUND(ROUND(AT147*AG147,2),2)</f>
        <v>0</v>
      </c>
    </row>
    <row r="148" spans="1:107" x14ac:dyDescent="0.2">
      <c r="A148">
        <f>ROW(Source!A102)</f>
        <v>102</v>
      </c>
      <c r="B148">
        <v>16808636</v>
      </c>
      <c r="C148">
        <v>16810448</v>
      </c>
      <c r="D148">
        <v>15167684</v>
      </c>
      <c r="E148">
        <v>1</v>
      </c>
      <c r="F148">
        <v>1</v>
      </c>
      <c r="G148">
        <v>1</v>
      </c>
      <c r="H148">
        <v>3</v>
      </c>
      <c r="I148" t="s">
        <v>275</v>
      </c>
      <c r="J148" t="s">
        <v>277</v>
      </c>
      <c r="K148" t="s">
        <v>276</v>
      </c>
      <c r="L148">
        <v>1308</v>
      </c>
      <c r="N148">
        <v>1003</v>
      </c>
      <c r="O148" t="s">
        <v>40</v>
      </c>
      <c r="P148" t="s">
        <v>40</v>
      </c>
      <c r="Q148">
        <v>100</v>
      </c>
      <c r="W148">
        <v>0</v>
      </c>
      <c r="X148">
        <v>-1119837873</v>
      </c>
      <c r="Y148">
        <v>0.68</v>
      </c>
      <c r="AA148">
        <v>666.97</v>
      </c>
      <c r="AB148">
        <v>0</v>
      </c>
      <c r="AC148">
        <v>0</v>
      </c>
      <c r="AD148">
        <v>0</v>
      </c>
      <c r="AE148">
        <v>99.4</v>
      </c>
      <c r="AF148">
        <v>0</v>
      </c>
      <c r="AG148">
        <v>0</v>
      </c>
      <c r="AH148">
        <v>0</v>
      </c>
      <c r="AI148">
        <v>6.71</v>
      </c>
      <c r="AJ148">
        <v>1</v>
      </c>
      <c r="AK148">
        <v>1</v>
      </c>
      <c r="AL148">
        <v>1</v>
      </c>
      <c r="AN148">
        <v>0</v>
      </c>
      <c r="AO148">
        <v>0</v>
      </c>
      <c r="AP148">
        <v>0</v>
      </c>
      <c r="AQ148">
        <v>0</v>
      </c>
      <c r="AR148">
        <v>0</v>
      </c>
      <c r="AS148" t="s">
        <v>6</v>
      </c>
      <c r="AT148">
        <v>0.68</v>
      </c>
      <c r="AU148" t="s">
        <v>6</v>
      </c>
      <c r="AV148">
        <v>0</v>
      </c>
      <c r="AW148">
        <v>1</v>
      </c>
      <c r="AX148">
        <v>-1</v>
      </c>
      <c r="AY148">
        <v>0</v>
      </c>
      <c r="AZ148">
        <v>0</v>
      </c>
      <c r="BA148" t="s">
        <v>6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Y148*Source!I102</f>
        <v>0.8024</v>
      </c>
      <c r="CY148">
        <f>AA148</f>
        <v>666.97</v>
      </c>
      <c r="CZ148">
        <f>AE148</f>
        <v>99.4</v>
      </c>
      <c r="DA148">
        <f>AI148</f>
        <v>6.71</v>
      </c>
      <c r="DB148">
        <f>ROUND(ROUND(AT148*CZ148,2),2)</f>
        <v>67.59</v>
      </c>
      <c r="DC148">
        <f>ROUND(ROUND(AT148*AG148,2),2)</f>
        <v>0</v>
      </c>
    </row>
    <row r="149" spans="1:107" x14ac:dyDescent="0.2">
      <c r="A149">
        <f>ROW(Source!A107)</f>
        <v>107</v>
      </c>
      <c r="B149">
        <v>16808636</v>
      </c>
      <c r="C149">
        <v>16810469</v>
      </c>
      <c r="D149">
        <v>15436014</v>
      </c>
      <c r="E149">
        <v>1</v>
      </c>
      <c r="F149">
        <v>1</v>
      </c>
      <c r="G149">
        <v>1</v>
      </c>
      <c r="H149">
        <v>1</v>
      </c>
      <c r="I149" t="s">
        <v>868</v>
      </c>
      <c r="J149" t="s">
        <v>6</v>
      </c>
      <c r="K149" t="s">
        <v>869</v>
      </c>
      <c r="L149">
        <v>1191</v>
      </c>
      <c r="N149">
        <v>1013</v>
      </c>
      <c r="O149" t="s">
        <v>708</v>
      </c>
      <c r="P149" t="s">
        <v>708</v>
      </c>
      <c r="Q149">
        <v>1</v>
      </c>
      <c r="W149">
        <v>0</v>
      </c>
      <c r="X149">
        <v>-784637506</v>
      </c>
      <c r="Y149">
        <v>165.29639999999998</v>
      </c>
      <c r="AA149">
        <v>0</v>
      </c>
      <c r="AB149">
        <v>0</v>
      </c>
      <c r="AC149">
        <v>0</v>
      </c>
      <c r="AD149">
        <v>58.65</v>
      </c>
      <c r="AE149">
        <v>0</v>
      </c>
      <c r="AF149">
        <v>0</v>
      </c>
      <c r="AG149">
        <v>0</v>
      </c>
      <c r="AH149">
        <v>8.74</v>
      </c>
      <c r="AI149">
        <v>1</v>
      </c>
      <c r="AJ149">
        <v>1</v>
      </c>
      <c r="AK149">
        <v>1</v>
      </c>
      <c r="AL149">
        <v>6.71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6</v>
      </c>
      <c r="AT149">
        <v>119.78</v>
      </c>
      <c r="AU149" t="s">
        <v>175</v>
      </c>
      <c r="AV149">
        <v>1</v>
      </c>
      <c r="AW149">
        <v>2</v>
      </c>
      <c r="AX149">
        <v>16810481</v>
      </c>
      <c r="AY149">
        <v>1</v>
      </c>
      <c r="AZ149">
        <v>0</v>
      </c>
      <c r="BA149">
        <v>148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Y149*Source!I107</f>
        <v>79.838161199999988</v>
      </c>
      <c r="CY149">
        <f>AD149</f>
        <v>58.65</v>
      </c>
      <c r="CZ149">
        <f>AH149</f>
        <v>8.74</v>
      </c>
      <c r="DA149">
        <f>AL149</f>
        <v>6.71</v>
      </c>
      <c r="DB149">
        <f>ROUND(((ROUND(AT149*CZ149,2)*1.15)*1.2),2)</f>
        <v>1444.69</v>
      </c>
      <c r="DC149">
        <f>ROUND(((ROUND(AT149*AG149,2)*1.15)*1.2),2)</f>
        <v>0</v>
      </c>
    </row>
    <row r="150" spans="1:107" x14ac:dyDescent="0.2">
      <c r="A150">
        <f>ROW(Source!A107)</f>
        <v>107</v>
      </c>
      <c r="B150">
        <v>16808636</v>
      </c>
      <c r="C150">
        <v>16810469</v>
      </c>
      <c r="D150">
        <v>15430395</v>
      </c>
      <c r="E150">
        <v>1</v>
      </c>
      <c r="F150">
        <v>1</v>
      </c>
      <c r="G150">
        <v>1</v>
      </c>
      <c r="H150">
        <v>1</v>
      </c>
      <c r="I150" t="s">
        <v>709</v>
      </c>
      <c r="J150" t="s">
        <v>6</v>
      </c>
      <c r="K150" t="s">
        <v>710</v>
      </c>
      <c r="L150">
        <v>1191</v>
      </c>
      <c r="N150">
        <v>1013</v>
      </c>
      <c r="O150" t="s">
        <v>708</v>
      </c>
      <c r="P150" t="s">
        <v>708</v>
      </c>
      <c r="Q150">
        <v>1</v>
      </c>
      <c r="W150">
        <v>0</v>
      </c>
      <c r="X150">
        <v>-1417349443</v>
      </c>
      <c r="Y150">
        <v>4.5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6.71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6</v>
      </c>
      <c r="AT150">
        <v>4.5</v>
      </c>
      <c r="AU150" t="s">
        <v>6</v>
      </c>
      <c r="AV150">
        <v>2</v>
      </c>
      <c r="AW150">
        <v>2</v>
      </c>
      <c r="AX150">
        <v>16810482</v>
      </c>
      <c r="AY150">
        <v>1</v>
      </c>
      <c r="AZ150">
        <v>2048</v>
      </c>
      <c r="BA150">
        <v>149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Y150*Source!I107</f>
        <v>2.1734999999999998</v>
      </c>
      <c r="CY150">
        <f>AD150</f>
        <v>0</v>
      </c>
      <c r="CZ150">
        <f>AH150</f>
        <v>0</v>
      </c>
      <c r="DA150">
        <f>AL150</f>
        <v>1</v>
      </c>
      <c r="DB150">
        <f>ROUND(ROUND(AT150*CZ150,2),2)</f>
        <v>0</v>
      </c>
      <c r="DC150">
        <f>ROUND(ROUND(AT150*AG150,2),2)</f>
        <v>0</v>
      </c>
    </row>
    <row r="151" spans="1:107" x14ac:dyDescent="0.2">
      <c r="A151">
        <f>ROW(Source!A107)</f>
        <v>107</v>
      </c>
      <c r="B151">
        <v>16808636</v>
      </c>
      <c r="C151">
        <v>16810469</v>
      </c>
      <c r="D151">
        <v>15247905</v>
      </c>
      <c r="E151">
        <v>1</v>
      </c>
      <c r="F151">
        <v>1</v>
      </c>
      <c r="G151">
        <v>1</v>
      </c>
      <c r="H151">
        <v>2</v>
      </c>
      <c r="I151" t="s">
        <v>870</v>
      </c>
      <c r="J151" t="s">
        <v>871</v>
      </c>
      <c r="K151" t="s">
        <v>872</v>
      </c>
      <c r="L151">
        <v>1368</v>
      </c>
      <c r="N151">
        <v>1011</v>
      </c>
      <c r="O151" t="s">
        <v>714</v>
      </c>
      <c r="P151" t="s">
        <v>714</v>
      </c>
      <c r="Q151">
        <v>1</v>
      </c>
      <c r="W151">
        <v>0</v>
      </c>
      <c r="X151">
        <v>-665367104</v>
      </c>
      <c r="Y151">
        <v>0.53999999999999992</v>
      </c>
      <c r="AA151">
        <v>0</v>
      </c>
      <c r="AB151">
        <v>603.83000000000004</v>
      </c>
      <c r="AC151">
        <v>10.06</v>
      </c>
      <c r="AD151">
        <v>0</v>
      </c>
      <c r="AE151">
        <v>0</v>
      </c>
      <c r="AF151">
        <v>89.99</v>
      </c>
      <c r="AG151">
        <v>10.06</v>
      </c>
      <c r="AH151">
        <v>0</v>
      </c>
      <c r="AI151">
        <v>1</v>
      </c>
      <c r="AJ151">
        <v>6.71</v>
      </c>
      <c r="AK151">
        <v>1</v>
      </c>
      <c r="AL151">
        <v>1</v>
      </c>
      <c r="AN151">
        <v>0</v>
      </c>
      <c r="AO151">
        <v>1</v>
      </c>
      <c r="AP151">
        <v>1</v>
      </c>
      <c r="AQ151">
        <v>0</v>
      </c>
      <c r="AR151">
        <v>0</v>
      </c>
      <c r="AS151" t="s">
        <v>6</v>
      </c>
      <c r="AT151">
        <v>0.36</v>
      </c>
      <c r="AU151" t="s">
        <v>174</v>
      </c>
      <c r="AV151">
        <v>0</v>
      </c>
      <c r="AW151">
        <v>2</v>
      </c>
      <c r="AX151">
        <v>16810483</v>
      </c>
      <c r="AY151">
        <v>1</v>
      </c>
      <c r="AZ151">
        <v>0</v>
      </c>
      <c r="BA151">
        <v>150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Y151*Source!I107</f>
        <v>0.26081999999999994</v>
      </c>
      <c r="CY151">
        <f>AB151</f>
        <v>603.83000000000004</v>
      </c>
      <c r="CZ151">
        <f>AF151</f>
        <v>89.99</v>
      </c>
      <c r="DA151">
        <f>AJ151</f>
        <v>6.71</v>
      </c>
      <c r="DB151">
        <f>ROUND(((ROUND(AT151*CZ151,2)*1.25)*1.2),2)</f>
        <v>48.6</v>
      </c>
      <c r="DC151">
        <f>ROUND(((ROUND(AT151*AG151,2)*1.25)*1.2),2)</f>
        <v>5.43</v>
      </c>
    </row>
    <row r="152" spans="1:107" x14ac:dyDescent="0.2">
      <c r="A152">
        <f>ROW(Source!A107)</f>
        <v>107</v>
      </c>
      <c r="B152">
        <v>16808636</v>
      </c>
      <c r="C152">
        <v>16810469</v>
      </c>
      <c r="D152">
        <v>15247974</v>
      </c>
      <c r="E152">
        <v>1</v>
      </c>
      <c r="F152">
        <v>1</v>
      </c>
      <c r="G152">
        <v>1</v>
      </c>
      <c r="H152">
        <v>2</v>
      </c>
      <c r="I152" t="s">
        <v>711</v>
      </c>
      <c r="J152" t="s">
        <v>712</v>
      </c>
      <c r="K152" t="s">
        <v>713</v>
      </c>
      <c r="L152">
        <v>1368</v>
      </c>
      <c r="N152">
        <v>1011</v>
      </c>
      <c r="O152" t="s">
        <v>714</v>
      </c>
      <c r="P152" t="s">
        <v>714</v>
      </c>
      <c r="Q152">
        <v>1</v>
      </c>
      <c r="W152">
        <v>0</v>
      </c>
      <c r="X152">
        <v>1188625873</v>
      </c>
      <c r="Y152">
        <v>3.4499999999999997</v>
      </c>
      <c r="AA152">
        <v>0</v>
      </c>
      <c r="AB152">
        <v>209.75</v>
      </c>
      <c r="AC152">
        <v>13.5</v>
      </c>
      <c r="AD152">
        <v>0</v>
      </c>
      <c r="AE152">
        <v>0</v>
      </c>
      <c r="AF152">
        <v>31.26</v>
      </c>
      <c r="AG152">
        <v>13.5</v>
      </c>
      <c r="AH152">
        <v>0</v>
      </c>
      <c r="AI152">
        <v>1</v>
      </c>
      <c r="AJ152">
        <v>6.71</v>
      </c>
      <c r="AK152">
        <v>1</v>
      </c>
      <c r="AL152">
        <v>1</v>
      </c>
      <c r="AN152">
        <v>0</v>
      </c>
      <c r="AO152">
        <v>1</v>
      </c>
      <c r="AP152">
        <v>1</v>
      </c>
      <c r="AQ152">
        <v>0</v>
      </c>
      <c r="AR152">
        <v>0</v>
      </c>
      <c r="AS152" t="s">
        <v>6</v>
      </c>
      <c r="AT152">
        <v>2.2999999999999998</v>
      </c>
      <c r="AU152" t="s">
        <v>174</v>
      </c>
      <c r="AV152">
        <v>0</v>
      </c>
      <c r="AW152">
        <v>2</v>
      </c>
      <c r="AX152">
        <v>16810484</v>
      </c>
      <c r="AY152">
        <v>1</v>
      </c>
      <c r="AZ152">
        <v>0</v>
      </c>
      <c r="BA152">
        <v>151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Y152*Source!I107</f>
        <v>1.6663499999999998</v>
      </c>
      <c r="CY152">
        <f>AB152</f>
        <v>209.75</v>
      </c>
      <c r="CZ152">
        <f>AF152</f>
        <v>31.26</v>
      </c>
      <c r="DA152">
        <f>AJ152</f>
        <v>6.71</v>
      </c>
      <c r="DB152">
        <f>ROUND(((ROUND(AT152*CZ152,2)*1.25)*1.2),2)</f>
        <v>107.85</v>
      </c>
      <c r="DC152">
        <f>ROUND(((ROUND(AT152*AG152,2)*1.25)*1.2),2)</f>
        <v>46.58</v>
      </c>
    </row>
    <row r="153" spans="1:107" x14ac:dyDescent="0.2">
      <c r="A153">
        <f>ROW(Source!A107)</f>
        <v>107</v>
      </c>
      <c r="B153">
        <v>16808636</v>
      </c>
      <c r="C153">
        <v>16810469</v>
      </c>
      <c r="D153">
        <v>15248143</v>
      </c>
      <c r="E153">
        <v>1</v>
      </c>
      <c r="F153">
        <v>1</v>
      </c>
      <c r="G153">
        <v>1</v>
      </c>
      <c r="H153">
        <v>2</v>
      </c>
      <c r="I153" t="s">
        <v>873</v>
      </c>
      <c r="J153" t="s">
        <v>874</v>
      </c>
      <c r="K153" t="s">
        <v>875</v>
      </c>
      <c r="L153">
        <v>1368</v>
      </c>
      <c r="N153">
        <v>1011</v>
      </c>
      <c r="O153" t="s">
        <v>714</v>
      </c>
      <c r="P153" t="s">
        <v>714</v>
      </c>
      <c r="Q153">
        <v>1</v>
      </c>
      <c r="W153">
        <v>0</v>
      </c>
      <c r="X153">
        <v>983187852</v>
      </c>
      <c r="Y153">
        <v>2.3400000000000003</v>
      </c>
      <c r="AA153">
        <v>0</v>
      </c>
      <c r="AB153">
        <v>83.14</v>
      </c>
      <c r="AC153">
        <v>10.06</v>
      </c>
      <c r="AD153">
        <v>0</v>
      </c>
      <c r="AE153">
        <v>0</v>
      </c>
      <c r="AF153">
        <v>12.39</v>
      </c>
      <c r="AG153">
        <v>10.06</v>
      </c>
      <c r="AH153">
        <v>0</v>
      </c>
      <c r="AI153">
        <v>1</v>
      </c>
      <c r="AJ153">
        <v>6.71</v>
      </c>
      <c r="AK153">
        <v>1</v>
      </c>
      <c r="AL153">
        <v>1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6</v>
      </c>
      <c r="AT153">
        <v>1.56</v>
      </c>
      <c r="AU153" t="s">
        <v>174</v>
      </c>
      <c r="AV153">
        <v>0</v>
      </c>
      <c r="AW153">
        <v>2</v>
      </c>
      <c r="AX153">
        <v>16810485</v>
      </c>
      <c r="AY153">
        <v>1</v>
      </c>
      <c r="AZ153">
        <v>0</v>
      </c>
      <c r="BA153">
        <v>152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Y153*Source!I107</f>
        <v>1.13022</v>
      </c>
      <c r="CY153">
        <f>AB153</f>
        <v>83.14</v>
      </c>
      <c r="CZ153">
        <f>AF153</f>
        <v>12.39</v>
      </c>
      <c r="DA153">
        <f>AJ153</f>
        <v>6.71</v>
      </c>
      <c r="DB153">
        <f>ROUND(((ROUND(AT153*CZ153,2)*1.25)*1.2),2)</f>
        <v>29</v>
      </c>
      <c r="DC153">
        <f>ROUND(((ROUND(AT153*AG153,2)*1.25)*1.2),2)</f>
        <v>23.54</v>
      </c>
    </row>
    <row r="154" spans="1:107" x14ac:dyDescent="0.2">
      <c r="A154">
        <f>ROW(Source!A107)</f>
        <v>107</v>
      </c>
      <c r="B154">
        <v>16808636</v>
      </c>
      <c r="C154">
        <v>16810469</v>
      </c>
      <c r="D154">
        <v>15249073</v>
      </c>
      <c r="E154">
        <v>1</v>
      </c>
      <c r="F154">
        <v>1</v>
      </c>
      <c r="G154">
        <v>1</v>
      </c>
      <c r="H154">
        <v>2</v>
      </c>
      <c r="I154" t="s">
        <v>724</v>
      </c>
      <c r="J154" t="s">
        <v>725</v>
      </c>
      <c r="K154" t="s">
        <v>726</v>
      </c>
      <c r="L154">
        <v>1368</v>
      </c>
      <c r="N154">
        <v>1011</v>
      </c>
      <c r="O154" t="s">
        <v>714</v>
      </c>
      <c r="P154" t="s">
        <v>714</v>
      </c>
      <c r="Q154">
        <v>1</v>
      </c>
      <c r="W154">
        <v>0</v>
      </c>
      <c r="X154">
        <v>1372534845</v>
      </c>
      <c r="Y154">
        <v>0.42000000000000004</v>
      </c>
      <c r="AA154">
        <v>0</v>
      </c>
      <c r="AB154">
        <v>440.91</v>
      </c>
      <c r="AC154">
        <v>11.6</v>
      </c>
      <c r="AD154">
        <v>0</v>
      </c>
      <c r="AE154">
        <v>0</v>
      </c>
      <c r="AF154">
        <v>65.709999999999994</v>
      </c>
      <c r="AG154">
        <v>11.6</v>
      </c>
      <c r="AH154">
        <v>0</v>
      </c>
      <c r="AI154">
        <v>1</v>
      </c>
      <c r="AJ154">
        <v>6.71</v>
      </c>
      <c r="AK154">
        <v>1</v>
      </c>
      <c r="AL154">
        <v>1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6</v>
      </c>
      <c r="AT154">
        <v>0.28000000000000003</v>
      </c>
      <c r="AU154" t="s">
        <v>174</v>
      </c>
      <c r="AV154">
        <v>0</v>
      </c>
      <c r="AW154">
        <v>2</v>
      </c>
      <c r="AX154">
        <v>16810486</v>
      </c>
      <c r="AY154">
        <v>1</v>
      </c>
      <c r="AZ154">
        <v>0</v>
      </c>
      <c r="BA154">
        <v>153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Y154*Source!I107</f>
        <v>0.20286000000000001</v>
      </c>
      <c r="CY154">
        <f>AB154</f>
        <v>440.91</v>
      </c>
      <c r="CZ154">
        <f>AF154</f>
        <v>65.709999999999994</v>
      </c>
      <c r="DA154">
        <f>AJ154</f>
        <v>6.71</v>
      </c>
      <c r="DB154">
        <f>ROUND(((ROUND(AT154*CZ154,2)*1.25)*1.2),2)</f>
        <v>27.6</v>
      </c>
      <c r="DC154">
        <f>ROUND(((ROUND(AT154*AG154,2)*1.25)*1.2),2)</f>
        <v>4.88</v>
      </c>
    </row>
    <row r="155" spans="1:107" x14ac:dyDescent="0.2">
      <c r="A155">
        <f>ROW(Source!A107)</f>
        <v>107</v>
      </c>
      <c r="B155">
        <v>16808636</v>
      </c>
      <c r="C155">
        <v>16810469</v>
      </c>
      <c r="D155">
        <v>15167286</v>
      </c>
      <c r="E155">
        <v>1</v>
      </c>
      <c r="F155">
        <v>1</v>
      </c>
      <c r="G155">
        <v>1</v>
      </c>
      <c r="H155">
        <v>3</v>
      </c>
      <c r="I155" t="s">
        <v>781</v>
      </c>
      <c r="J155" t="s">
        <v>782</v>
      </c>
      <c r="K155" t="s">
        <v>783</v>
      </c>
      <c r="L155">
        <v>1339</v>
      </c>
      <c r="N155">
        <v>1007</v>
      </c>
      <c r="O155" t="s">
        <v>254</v>
      </c>
      <c r="P155" t="s">
        <v>254</v>
      </c>
      <c r="Q155">
        <v>1</v>
      </c>
      <c r="W155">
        <v>0</v>
      </c>
      <c r="X155">
        <v>-1660354250</v>
      </c>
      <c r="Y155">
        <v>0.1</v>
      </c>
      <c r="AA155">
        <v>16.37</v>
      </c>
      <c r="AB155">
        <v>0</v>
      </c>
      <c r="AC155">
        <v>0</v>
      </c>
      <c r="AD155">
        <v>0</v>
      </c>
      <c r="AE155">
        <v>2.44</v>
      </c>
      <c r="AF155">
        <v>0</v>
      </c>
      <c r="AG155">
        <v>0</v>
      </c>
      <c r="AH155">
        <v>0</v>
      </c>
      <c r="AI155">
        <v>6.71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6</v>
      </c>
      <c r="AT155">
        <v>0.1</v>
      </c>
      <c r="AU155" t="s">
        <v>6</v>
      </c>
      <c r="AV155">
        <v>0</v>
      </c>
      <c r="AW155">
        <v>2</v>
      </c>
      <c r="AX155">
        <v>16810487</v>
      </c>
      <c r="AY155">
        <v>1</v>
      </c>
      <c r="AZ155">
        <v>0</v>
      </c>
      <c r="BA155">
        <v>154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Y155*Source!I107</f>
        <v>4.8300000000000003E-2</v>
      </c>
      <c r="CY155">
        <f t="shared" ref="CY155:CY161" si="24">AA155</f>
        <v>16.37</v>
      </c>
      <c r="CZ155">
        <f t="shared" ref="CZ155:CZ161" si="25">AE155</f>
        <v>2.44</v>
      </c>
      <c r="DA155">
        <f t="shared" ref="DA155:DA161" si="26">AI155</f>
        <v>6.71</v>
      </c>
      <c r="DB155">
        <f t="shared" ref="DB155:DB161" si="27">ROUND(ROUND(AT155*CZ155,2),2)</f>
        <v>0.24</v>
      </c>
      <c r="DC155">
        <f t="shared" ref="DC155:DC161" si="28">ROUND(ROUND(AT155*AG155,2),2)</f>
        <v>0</v>
      </c>
    </row>
    <row r="156" spans="1:107" x14ac:dyDescent="0.2">
      <c r="A156">
        <f>ROW(Source!A107)</f>
        <v>107</v>
      </c>
      <c r="B156">
        <v>16808636</v>
      </c>
      <c r="C156">
        <v>16810469</v>
      </c>
      <c r="D156">
        <v>15171018</v>
      </c>
      <c r="E156">
        <v>1</v>
      </c>
      <c r="F156">
        <v>1</v>
      </c>
      <c r="G156">
        <v>1</v>
      </c>
      <c r="H156">
        <v>3</v>
      </c>
      <c r="I156" t="s">
        <v>833</v>
      </c>
      <c r="J156" t="s">
        <v>834</v>
      </c>
      <c r="K156" t="s">
        <v>835</v>
      </c>
      <c r="L156">
        <v>1346</v>
      </c>
      <c r="N156">
        <v>1009</v>
      </c>
      <c r="O156" t="s">
        <v>300</v>
      </c>
      <c r="P156" t="s">
        <v>300</v>
      </c>
      <c r="Q156">
        <v>1</v>
      </c>
      <c r="W156">
        <v>0</v>
      </c>
      <c r="X156">
        <v>813963326</v>
      </c>
      <c r="Y156">
        <v>0.5</v>
      </c>
      <c r="AA156">
        <v>12.21</v>
      </c>
      <c r="AB156">
        <v>0</v>
      </c>
      <c r="AC156">
        <v>0</v>
      </c>
      <c r="AD156">
        <v>0</v>
      </c>
      <c r="AE156">
        <v>1.82</v>
      </c>
      <c r="AF156">
        <v>0</v>
      </c>
      <c r="AG156">
        <v>0</v>
      </c>
      <c r="AH156">
        <v>0</v>
      </c>
      <c r="AI156">
        <v>6.71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6</v>
      </c>
      <c r="AT156">
        <v>0.5</v>
      </c>
      <c r="AU156" t="s">
        <v>6</v>
      </c>
      <c r="AV156">
        <v>0</v>
      </c>
      <c r="AW156">
        <v>2</v>
      </c>
      <c r="AX156">
        <v>16810488</v>
      </c>
      <c r="AY156">
        <v>1</v>
      </c>
      <c r="AZ156">
        <v>0</v>
      </c>
      <c r="BA156">
        <v>155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Y156*Source!I107</f>
        <v>0.24149999999999999</v>
      </c>
      <c r="CY156">
        <f t="shared" si="24"/>
        <v>12.21</v>
      </c>
      <c r="CZ156">
        <f t="shared" si="25"/>
        <v>1.82</v>
      </c>
      <c r="DA156">
        <f t="shared" si="26"/>
        <v>6.71</v>
      </c>
      <c r="DB156">
        <f t="shared" si="27"/>
        <v>0.91</v>
      </c>
      <c r="DC156">
        <f t="shared" si="28"/>
        <v>0</v>
      </c>
    </row>
    <row r="157" spans="1:107" x14ac:dyDescent="0.2">
      <c r="A157">
        <f>ROW(Source!A107)</f>
        <v>107</v>
      </c>
      <c r="B157">
        <v>16808636</v>
      </c>
      <c r="C157">
        <v>16810469</v>
      </c>
      <c r="D157">
        <v>15173044</v>
      </c>
      <c r="E157">
        <v>1</v>
      </c>
      <c r="F157">
        <v>1</v>
      </c>
      <c r="G157">
        <v>1</v>
      </c>
      <c r="H157">
        <v>3</v>
      </c>
      <c r="I157" t="s">
        <v>876</v>
      </c>
      <c r="J157" t="s">
        <v>877</v>
      </c>
      <c r="K157" t="s">
        <v>878</v>
      </c>
      <c r="L157">
        <v>1348</v>
      </c>
      <c r="N157">
        <v>1009</v>
      </c>
      <c r="O157" t="s">
        <v>104</v>
      </c>
      <c r="P157" t="s">
        <v>104</v>
      </c>
      <c r="Q157">
        <v>1000</v>
      </c>
      <c r="W157">
        <v>0</v>
      </c>
      <c r="X157">
        <v>2108657288</v>
      </c>
      <c r="Y157">
        <v>0.05</v>
      </c>
      <c r="AA157">
        <v>43702.23</v>
      </c>
      <c r="AB157">
        <v>0</v>
      </c>
      <c r="AC157">
        <v>0</v>
      </c>
      <c r="AD157">
        <v>0</v>
      </c>
      <c r="AE157">
        <v>6513</v>
      </c>
      <c r="AF157">
        <v>0</v>
      </c>
      <c r="AG157">
        <v>0</v>
      </c>
      <c r="AH157">
        <v>0</v>
      </c>
      <c r="AI157">
        <v>6.71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6</v>
      </c>
      <c r="AT157">
        <v>0.05</v>
      </c>
      <c r="AU157" t="s">
        <v>6</v>
      </c>
      <c r="AV157">
        <v>0</v>
      </c>
      <c r="AW157">
        <v>2</v>
      </c>
      <c r="AX157">
        <v>16810489</v>
      </c>
      <c r="AY157">
        <v>1</v>
      </c>
      <c r="AZ157">
        <v>0</v>
      </c>
      <c r="BA157">
        <v>156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Y157*Source!I107</f>
        <v>2.4150000000000001E-2</v>
      </c>
      <c r="CY157">
        <f t="shared" si="24"/>
        <v>43702.23</v>
      </c>
      <c r="CZ157">
        <f t="shared" si="25"/>
        <v>6513</v>
      </c>
      <c r="DA157">
        <f t="shared" si="26"/>
        <v>6.71</v>
      </c>
      <c r="DB157">
        <f t="shared" si="27"/>
        <v>325.64999999999998</v>
      </c>
      <c r="DC157">
        <f t="shared" si="28"/>
        <v>0</v>
      </c>
    </row>
    <row r="158" spans="1:107" x14ac:dyDescent="0.2">
      <c r="A158">
        <f>ROW(Source!A107)</f>
        <v>107</v>
      </c>
      <c r="B158">
        <v>16808636</v>
      </c>
      <c r="C158">
        <v>16810469</v>
      </c>
      <c r="D158">
        <v>15187044</v>
      </c>
      <c r="E158">
        <v>1</v>
      </c>
      <c r="F158">
        <v>1</v>
      </c>
      <c r="G158">
        <v>1</v>
      </c>
      <c r="H158">
        <v>3</v>
      </c>
      <c r="I158" t="s">
        <v>286</v>
      </c>
      <c r="J158" t="s">
        <v>288</v>
      </c>
      <c r="K158" t="s">
        <v>287</v>
      </c>
      <c r="L158">
        <v>1327</v>
      </c>
      <c r="N158">
        <v>1005</v>
      </c>
      <c r="O158" t="s">
        <v>190</v>
      </c>
      <c r="P158" t="s">
        <v>190</v>
      </c>
      <c r="Q158">
        <v>1</v>
      </c>
      <c r="W158">
        <v>1</v>
      </c>
      <c r="X158">
        <v>380867059</v>
      </c>
      <c r="Y158">
        <v>-102</v>
      </c>
      <c r="AA158">
        <v>454.94</v>
      </c>
      <c r="AB158">
        <v>0</v>
      </c>
      <c r="AC158">
        <v>0</v>
      </c>
      <c r="AD158">
        <v>0</v>
      </c>
      <c r="AE158">
        <v>67.8</v>
      </c>
      <c r="AF158">
        <v>0</v>
      </c>
      <c r="AG158">
        <v>0</v>
      </c>
      <c r="AH158">
        <v>0</v>
      </c>
      <c r="AI158">
        <v>6.71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6</v>
      </c>
      <c r="AT158">
        <v>-102</v>
      </c>
      <c r="AU158" t="s">
        <v>6</v>
      </c>
      <c r="AV158">
        <v>0</v>
      </c>
      <c r="AW158">
        <v>2</v>
      </c>
      <c r="AX158">
        <v>16810490</v>
      </c>
      <c r="AY158">
        <v>1</v>
      </c>
      <c r="AZ158">
        <v>6144</v>
      </c>
      <c r="BA158">
        <v>157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Y158*Source!I107</f>
        <v>-49.265999999999998</v>
      </c>
      <c r="CY158">
        <f t="shared" si="24"/>
        <v>454.94</v>
      </c>
      <c r="CZ158">
        <f t="shared" si="25"/>
        <v>67.8</v>
      </c>
      <c r="DA158">
        <f t="shared" si="26"/>
        <v>6.71</v>
      </c>
      <c r="DB158">
        <f t="shared" si="27"/>
        <v>-6915.6</v>
      </c>
      <c r="DC158">
        <f t="shared" si="28"/>
        <v>0</v>
      </c>
    </row>
    <row r="159" spans="1:107" x14ac:dyDescent="0.2">
      <c r="A159">
        <f>ROW(Source!A107)</f>
        <v>107</v>
      </c>
      <c r="B159">
        <v>16808636</v>
      </c>
      <c r="C159">
        <v>16810469</v>
      </c>
      <c r="D159">
        <v>15187046</v>
      </c>
      <c r="E159">
        <v>1</v>
      </c>
      <c r="F159">
        <v>1</v>
      </c>
      <c r="G159">
        <v>1</v>
      </c>
      <c r="H159">
        <v>3</v>
      </c>
      <c r="I159" t="s">
        <v>290</v>
      </c>
      <c r="J159" t="s">
        <v>292</v>
      </c>
      <c r="K159" t="s">
        <v>291</v>
      </c>
      <c r="L159">
        <v>1327</v>
      </c>
      <c r="N159">
        <v>1005</v>
      </c>
      <c r="O159" t="s">
        <v>190</v>
      </c>
      <c r="P159" t="s">
        <v>190</v>
      </c>
      <c r="Q159">
        <v>1</v>
      </c>
      <c r="W159">
        <v>0</v>
      </c>
      <c r="X159">
        <v>2101539550</v>
      </c>
      <c r="Y159">
        <v>102</v>
      </c>
      <c r="AA159">
        <v>963.35</v>
      </c>
      <c r="AB159">
        <v>0</v>
      </c>
      <c r="AC159">
        <v>0</v>
      </c>
      <c r="AD159">
        <v>0</v>
      </c>
      <c r="AE159">
        <v>143.57</v>
      </c>
      <c r="AF159">
        <v>0</v>
      </c>
      <c r="AG159">
        <v>0</v>
      </c>
      <c r="AH159">
        <v>0</v>
      </c>
      <c r="AI159">
        <v>6.71</v>
      </c>
      <c r="AJ159">
        <v>1</v>
      </c>
      <c r="AK159">
        <v>1</v>
      </c>
      <c r="AL159">
        <v>1</v>
      </c>
      <c r="AN159">
        <v>0</v>
      </c>
      <c r="AO159">
        <v>0</v>
      </c>
      <c r="AP159">
        <v>0</v>
      </c>
      <c r="AQ159">
        <v>0</v>
      </c>
      <c r="AR159">
        <v>0</v>
      </c>
      <c r="AS159" t="s">
        <v>6</v>
      </c>
      <c r="AT159">
        <v>102</v>
      </c>
      <c r="AU159" t="s">
        <v>6</v>
      </c>
      <c r="AV159">
        <v>0</v>
      </c>
      <c r="AW159">
        <v>1</v>
      </c>
      <c r="AX159">
        <v>-1</v>
      </c>
      <c r="AY159">
        <v>0</v>
      </c>
      <c r="AZ159">
        <v>0</v>
      </c>
      <c r="BA159" t="s">
        <v>6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Y159*Source!I107</f>
        <v>49.265999999999998</v>
      </c>
      <c r="CY159">
        <f t="shared" si="24"/>
        <v>963.35</v>
      </c>
      <c r="CZ159">
        <f t="shared" si="25"/>
        <v>143.57</v>
      </c>
      <c r="DA159">
        <f t="shared" si="26"/>
        <v>6.71</v>
      </c>
      <c r="DB159">
        <f t="shared" si="27"/>
        <v>14644.14</v>
      </c>
      <c r="DC159">
        <f t="shared" si="28"/>
        <v>0</v>
      </c>
    </row>
    <row r="160" spans="1:107" x14ac:dyDescent="0.2">
      <c r="A160">
        <f>ROW(Source!A107)</f>
        <v>107</v>
      </c>
      <c r="B160">
        <v>16808636</v>
      </c>
      <c r="C160">
        <v>16810469</v>
      </c>
      <c r="D160">
        <v>15202561</v>
      </c>
      <c r="E160">
        <v>1</v>
      </c>
      <c r="F160">
        <v>1</v>
      </c>
      <c r="G160">
        <v>1</v>
      </c>
      <c r="H160">
        <v>3</v>
      </c>
      <c r="I160" t="s">
        <v>294</v>
      </c>
      <c r="J160" t="s">
        <v>296</v>
      </c>
      <c r="K160" t="s">
        <v>295</v>
      </c>
      <c r="L160">
        <v>1348</v>
      </c>
      <c r="N160">
        <v>1009</v>
      </c>
      <c r="O160" t="s">
        <v>104</v>
      </c>
      <c r="P160" t="s">
        <v>104</v>
      </c>
      <c r="Q160">
        <v>1000</v>
      </c>
      <c r="W160">
        <v>0</v>
      </c>
      <c r="X160">
        <v>1446672103</v>
      </c>
      <c r="Y160">
        <v>0.45</v>
      </c>
      <c r="AA160">
        <v>49255.22</v>
      </c>
      <c r="AB160">
        <v>0</v>
      </c>
      <c r="AC160">
        <v>0</v>
      </c>
      <c r="AD160">
        <v>0</v>
      </c>
      <c r="AE160">
        <v>7340.57</v>
      </c>
      <c r="AF160">
        <v>0</v>
      </c>
      <c r="AG160">
        <v>0</v>
      </c>
      <c r="AH160">
        <v>0</v>
      </c>
      <c r="AI160">
        <v>6.71</v>
      </c>
      <c r="AJ160">
        <v>1</v>
      </c>
      <c r="AK160">
        <v>1</v>
      </c>
      <c r="AL160">
        <v>1</v>
      </c>
      <c r="AN160">
        <v>0</v>
      </c>
      <c r="AO160">
        <v>0</v>
      </c>
      <c r="AP160">
        <v>0</v>
      </c>
      <c r="AQ160">
        <v>0</v>
      </c>
      <c r="AR160">
        <v>0</v>
      </c>
      <c r="AS160" t="s">
        <v>6</v>
      </c>
      <c r="AT160">
        <v>0.45</v>
      </c>
      <c r="AU160" t="s">
        <v>6</v>
      </c>
      <c r="AV160">
        <v>0</v>
      </c>
      <c r="AW160">
        <v>1</v>
      </c>
      <c r="AX160">
        <v>-1</v>
      </c>
      <c r="AY160">
        <v>0</v>
      </c>
      <c r="AZ160">
        <v>0</v>
      </c>
      <c r="BA160" t="s">
        <v>6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Y160*Source!I107</f>
        <v>0.21734999999999999</v>
      </c>
      <c r="CY160">
        <f t="shared" si="24"/>
        <v>49255.22</v>
      </c>
      <c r="CZ160">
        <f t="shared" si="25"/>
        <v>7340.57</v>
      </c>
      <c r="DA160">
        <f t="shared" si="26"/>
        <v>6.71</v>
      </c>
      <c r="DB160">
        <f t="shared" si="27"/>
        <v>3303.26</v>
      </c>
      <c r="DC160">
        <f t="shared" si="28"/>
        <v>0</v>
      </c>
    </row>
    <row r="161" spans="1:107" x14ac:dyDescent="0.2">
      <c r="A161">
        <f>ROW(Source!A107)</f>
        <v>107</v>
      </c>
      <c r="B161">
        <v>16808636</v>
      </c>
      <c r="C161">
        <v>16810469</v>
      </c>
      <c r="D161">
        <v>15202590</v>
      </c>
      <c r="E161">
        <v>1</v>
      </c>
      <c r="F161">
        <v>1</v>
      </c>
      <c r="G161">
        <v>1</v>
      </c>
      <c r="H161">
        <v>3</v>
      </c>
      <c r="I161" t="s">
        <v>298</v>
      </c>
      <c r="J161" t="s">
        <v>301</v>
      </c>
      <c r="K161" t="s">
        <v>299</v>
      </c>
      <c r="L161">
        <v>1346</v>
      </c>
      <c r="N161">
        <v>1009</v>
      </c>
      <c r="O161" t="s">
        <v>300</v>
      </c>
      <c r="P161" t="s">
        <v>300</v>
      </c>
      <c r="Q161">
        <v>1</v>
      </c>
      <c r="W161">
        <v>1</v>
      </c>
      <c r="X161">
        <v>538897998</v>
      </c>
      <c r="Y161">
        <v>-450</v>
      </c>
      <c r="AA161">
        <v>9.19</v>
      </c>
      <c r="AB161">
        <v>0</v>
      </c>
      <c r="AC161">
        <v>0</v>
      </c>
      <c r="AD161">
        <v>0</v>
      </c>
      <c r="AE161">
        <v>1.37</v>
      </c>
      <c r="AF161">
        <v>0</v>
      </c>
      <c r="AG161">
        <v>0</v>
      </c>
      <c r="AH161">
        <v>0</v>
      </c>
      <c r="AI161">
        <v>6.71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6</v>
      </c>
      <c r="AT161">
        <v>-450</v>
      </c>
      <c r="AU161" t="s">
        <v>6</v>
      </c>
      <c r="AV161">
        <v>0</v>
      </c>
      <c r="AW161">
        <v>2</v>
      </c>
      <c r="AX161">
        <v>16810491</v>
      </c>
      <c r="AY161">
        <v>1</v>
      </c>
      <c r="AZ161">
        <v>6144</v>
      </c>
      <c r="BA161">
        <v>158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Y161*Source!I107</f>
        <v>-217.35</v>
      </c>
      <c r="CY161">
        <f t="shared" si="24"/>
        <v>9.19</v>
      </c>
      <c r="CZ161">
        <f t="shared" si="25"/>
        <v>1.37</v>
      </c>
      <c r="DA161">
        <f t="shared" si="26"/>
        <v>6.71</v>
      </c>
      <c r="DB161">
        <f t="shared" si="27"/>
        <v>-616.5</v>
      </c>
      <c r="DC161">
        <f t="shared" si="28"/>
        <v>0</v>
      </c>
    </row>
    <row r="162" spans="1:107" x14ac:dyDescent="0.2">
      <c r="A162">
        <f>ROW(Source!A112)</f>
        <v>112</v>
      </c>
      <c r="B162">
        <v>16808636</v>
      </c>
      <c r="C162">
        <v>16810492</v>
      </c>
      <c r="D162">
        <v>15435721</v>
      </c>
      <c r="E162">
        <v>1</v>
      </c>
      <c r="F162">
        <v>1</v>
      </c>
      <c r="G162">
        <v>1</v>
      </c>
      <c r="H162">
        <v>1</v>
      </c>
      <c r="I162" t="s">
        <v>739</v>
      </c>
      <c r="J162" t="s">
        <v>6</v>
      </c>
      <c r="K162" t="s">
        <v>740</v>
      </c>
      <c r="L162">
        <v>1191</v>
      </c>
      <c r="N162">
        <v>1013</v>
      </c>
      <c r="O162" t="s">
        <v>708</v>
      </c>
      <c r="P162" t="s">
        <v>708</v>
      </c>
      <c r="Q162">
        <v>1</v>
      </c>
      <c r="W162">
        <v>0</v>
      </c>
      <c r="X162">
        <v>1983201532</v>
      </c>
      <c r="Y162">
        <v>32.871599999999994</v>
      </c>
      <c r="AA162">
        <v>0</v>
      </c>
      <c r="AB162">
        <v>0</v>
      </c>
      <c r="AC162">
        <v>0</v>
      </c>
      <c r="AD162">
        <v>63.81</v>
      </c>
      <c r="AE162">
        <v>0</v>
      </c>
      <c r="AF162">
        <v>0</v>
      </c>
      <c r="AG162">
        <v>0</v>
      </c>
      <c r="AH162">
        <v>9.51</v>
      </c>
      <c r="AI162">
        <v>1</v>
      </c>
      <c r="AJ162">
        <v>1</v>
      </c>
      <c r="AK162">
        <v>1</v>
      </c>
      <c r="AL162">
        <v>6.71</v>
      </c>
      <c r="AN162">
        <v>0</v>
      </c>
      <c r="AO162">
        <v>1</v>
      </c>
      <c r="AP162">
        <v>1</v>
      </c>
      <c r="AQ162">
        <v>0</v>
      </c>
      <c r="AR162">
        <v>0</v>
      </c>
      <c r="AS162" t="s">
        <v>6</v>
      </c>
      <c r="AT162">
        <v>23.82</v>
      </c>
      <c r="AU162" t="s">
        <v>175</v>
      </c>
      <c r="AV162">
        <v>1</v>
      </c>
      <c r="AW162">
        <v>2</v>
      </c>
      <c r="AX162">
        <v>16810500</v>
      </c>
      <c r="AY162">
        <v>1</v>
      </c>
      <c r="AZ162">
        <v>0</v>
      </c>
      <c r="BA162">
        <v>159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Y162*Source!I112</f>
        <v>15.186679199999999</v>
      </c>
      <c r="CY162">
        <f>AD162</f>
        <v>63.81</v>
      </c>
      <c r="CZ162">
        <f>AH162</f>
        <v>9.51</v>
      </c>
      <c r="DA162">
        <f>AL162</f>
        <v>6.71</v>
      </c>
      <c r="DB162">
        <f>ROUND(((ROUND(AT162*CZ162,2)*1.15)*1.2),2)</f>
        <v>312.61</v>
      </c>
      <c r="DC162">
        <f>ROUND(((ROUND(AT162*AG162,2)*1.15)*1.2),2)</f>
        <v>0</v>
      </c>
    </row>
    <row r="163" spans="1:107" x14ac:dyDescent="0.2">
      <c r="A163">
        <f>ROW(Source!A112)</f>
        <v>112</v>
      </c>
      <c r="B163">
        <v>16808636</v>
      </c>
      <c r="C163">
        <v>16810492</v>
      </c>
      <c r="D163">
        <v>15430395</v>
      </c>
      <c r="E163">
        <v>1</v>
      </c>
      <c r="F163">
        <v>1</v>
      </c>
      <c r="G163">
        <v>1</v>
      </c>
      <c r="H163">
        <v>1</v>
      </c>
      <c r="I163" t="s">
        <v>709</v>
      </c>
      <c r="J163" t="s">
        <v>6</v>
      </c>
      <c r="K163" t="s">
        <v>710</v>
      </c>
      <c r="L163">
        <v>1191</v>
      </c>
      <c r="N163">
        <v>1013</v>
      </c>
      <c r="O163" t="s">
        <v>708</v>
      </c>
      <c r="P163" t="s">
        <v>708</v>
      </c>
      <c r="Q163">
        <v>1</v>
      </c>
      <c r="W163">
        <v>0</v>
      </c>
      <c r="X163">
        <v>-1417349443</v>
      </c>
      <c r="Y163">
        <v>0.11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1</v>
      </c>
      <c r="AJ163">
        <v>1</v>
      </c>
      <c r="AK163">
        <v>6.71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6</v>
      </c>
      <c r="AT163">
        <v>0.11</v>
      </c>
      <c r="AU163" t="s">
        <v>6</v>
      </c>
      <c r="AV163">
        <v>2</v>
      </c>
      <c r="AW163">
        <v>2</v>
      </c>
      <c r="AX163">
        <v>16810501</v>
      </c>
      <c r="AY163">
        <v>1</v>
      </c>
      <c r="AZ163">
        <v>2048</v>
      </c>
      <c r="BA163">
        <v>160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Y163*Source!I112</f>
        <v>5.0820000000000004E-2</v>
      </c>
      <c r="CY163">
        <f>AD163</f>
        <v>0</v>
      </c>
      <c r="CZ163">
        <f>AH163</f>
        <v>0</v>
      </c>
      <c r="DA163">
        <f>AL163</f>
        <v>1</v>
      </c>
      <c r="DB163">
        <f>ROUND(ROUND(AT163*CZ163,2),2)</f>
        <v>0</v>
      </c>
      <c r="DC163">
        <f>ROUND(ROUND(AT163*AG163,2),2)</f>
        <v>0</v>
      </c>
    </row>
    <row r="164" spans="1:107" x14ac:dyDescent="0.2">
      <c r="A164">
        <f>ROW(Source!A112)</f>
        <v>112</v>
      </c>
      <c r="B164">
        <v>16808636</v>
      </c>
      <c r="C164">
        <v>16810492</v>
      </c>
      <c r="D164">
        <v>15247974</v>
      </c>
      <c r="E164">
        <v>1</v>
      </c>
      <c r="F164">
        <v>1</v>
      </c>
      <c r="G164">
        <v>1</v>
      </c>
      <c r="H164">
        <v>2</v>
      </c>
      <c r="I164" t="s">
        <v>711</v>
      </c>
      <c r="J164" t="s">
        <v>712</v>
      </c>
      <c r="K164" t="s">
        <v>713</v>
      </c>
      <c r="L164">
        <v>1368</v>
      </c>
      <c r="N164">
        <v>1011</v>
      </c>
      <c r="O164" t="s">
        <v>714</v>
      </c>
      <c r="P164" t="s">
        <v>714</v>
      </c>
      <c r="Q164">
        <v>1</v>
      </c>
      <c r="W164">
        <v>0</v>
      </c>
      <c r="X164">
        <v>1188625873</v>
      </c>
      <c r="Y164">
        <v>7.4999999999999997E-2</v>
      </c>
      <c r="AA164">
        <v>0</v>
      </c>
      <c r="AB164">
        <v>209.75</v>
      </c>
      <c r="AC164">
        <v>13.5</v>
      </c>
      <c r="AD164">
        <v>0</v>
      </c>
      <c r="AE164">
        <v>0</v>
      </c>
      <c r="AF164">
        <v>31.26</v>
      </c>
      <c r="AG164">
        <v>13.5</v>
      </c>
      <c r="AH164">
        <v>0</v>
      </c>
      <c r="AI164">
        <v>1</v>
      </c>
      <c r="AJ164">
        <v>6.71</v>
      </c>
      <c r="AK164">
        <v>1</v>
      </c>
      <c r="AL164">
        <v>1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6</v>
      </c>
      <c r="AT164">
        <v>0.05</v>
      </c>
      <c r="AU164" t="s">
        <v>174</v>
      </c>
      <c r="AV164">
        <v>0</v>
      </c>
      <c r="AW164">
        <v>2</v>
      </c>
      <c r="AX164">
        <v>16810502</v>
      </c>
      <c r="AY164">
        <v>1</v>
      </c>
      <c r="AZ164">
        <v>0</v>
      </c>
      <c r="BA164">
        <v>161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Y164*Source!I112</f>
        <v>3.465E-2</v>
      </c>
      <c r="CY164">
        <f>AB164</f>
        <v>209.75</v>
      </c>
      <c r="CZ164">
        <f>AF164</f>
        <v>31.26</v>
      </c>
      <c r="DA164">
        <f>AJ164</f>
        <v>6.71</v>
      </c>
      <c r="DB164">
        <f>ROUND(((ROUND(AT164*CZ164,2)*1.25)*1.2),2)</f>
        <v>2.34</v>
      </c>
      <c r="DC164">
        <f>ROUND(((ROUND(AT164*AG164,2)*1.25)*1.2),2)</f>
        <v>1.02</v>
      </c>
    </row>
    <row r="165" spans="1:107" x14ac:dyDescent="0.2">
      <c r="A165">
        <f>ROW(Source!A112)</f>
        <v>112</v>
      </c>
      <c r="B165">
        <v>16808636</v>
      </c>
      <c r="C165">
        <v>16810492</v>
      </c>
      <c r="D165">
        <v>15249073</v>
      </c>
      <c r="E165">
        <v>1</v>
      </c>
      <c r="F165">
        <v>1</v>
      </c>
      <c r="G165">
        <v>1</v>
      </c>
      <c r="H165">
        <v>2</v>
      </c>
      <c r="I165" t="s">
        <v>724</v>
      </c>
      <c r="J165" t="s">
        <v>725</v>
      </c>
      <c r="K165" t="s">
        <v>726</v>
      </c>
      <c r="L165">
        <v>1368</v>
      </c>
      <c r="N165">
        <v>1011</v>
      </c>
      <c r="O165" t="s">
        <v>714</v>
      </c>
      <c r="P165" t="s">
        <v>714</v>
      </c>
      <c r="Q165">
        <v>1</v>
      </c>
      <c r="W165">
        <v>0</v>
      </c>
      <c r="X165">
        <v>1372534845</v>
      </c>
      <c r="Y165">
        <v>0.09</v>
      </c>
      <c r="AA165">
        <v>0</v>
      </c>
      <c r="AB165">
        <v>440.91</v>
      </c>
      <c r="AC165">
        <v>11.6</v>
      </c>
      <c r="AD165">
        <v>0</v>
      </c>
      <c r="AE165">
        <v>0</v>
      </c>
      <c r="AF165">
        <v>65.709999999999994</v>
      </c>
      <c r="AG165">
        <v>11.6</v>
      </c>
      <c r="AH165">
        <v>0</v>
      </c>
      <c r="AI165">
        <v>1</v>
      </c>
      <c r="AJ165">
        <v>6.71</v>
      </c>
      <c r="AK165">
        <v>1</v>
      </c>
      <c r="AL165">
        <v>1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6</v>
      </c>
      <c r="AT165">
        <v>0.06</v>
      </c>
      <c r="AU165" t="s">
        <v>174</v>
      </c>
      <c r="AV165">
        <v>0</v>
      </c>
      <c r="AW165">
        <v>2</v>
      </c>
      <c r="AX165">
        <v>16810503</v>
      </c>
      <c r="AY165">
        <v>1</v>
      </c>
      <c r="AZ165">
        <v>0</v>
      </c>
      <c r="BA165">
        <v>162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Y165*Source!I112</f>
        <v>4.1579999999999999E-2</v>
      </c>
      <c r="CY165">
        <f>AB165</f>
        <v>440.91</v>
      </c>
      <c r="CZ165">
        <f>AF165</f>
        <v>65.709999999999994</v>
      </c>
      <c r="DA165">
        <f>AJ165</f>
        <v>6.71</v>
      </c>
      <c r="DB165">
        <f>ROUND(((ROUND(AT165*CZ165,2)*1.25)*1.2),2)</f>
        <v>5.91</v>
      </c>
      <c r="DC165">
        <f>ROUND(((ROUND(AT165*AG165,2)*1.25)*1.2),2)</f>
        <v>1.05</v>
      </c>
    </row>
    <row r="166" spans="1:107" x14ac:dyDescent="0.2">
      <c r="A166">
        <f>ROW(Source!A112)</f>
        <v>112</v>
      </c>
      <c r="B166">
        <v>16808636</v>
      </c>
      <c r="C166">
        <v>16810492</v>
      </c>
      <c r="D166">
        <v>15161703</v>
      </c>
      <c r="E166">
        <v>17</v>
      </c>
      <c r="F166">
        <v>1</v>
      </c>
      <c r="G166">
        <v>1</v>
      </c>
      <c r="H166">
        <v>3</v>
      </c>
      <c r="I166" t="s">
        <v>252</v>
      </c>
      <c r="J166" t="s">
        <v>6</v>
      </c>
      <c r="K166" t="s">
        <v>253</v>
      </c>
      <c r="L166">
        <v>1339</v>
      </c>
      <c r="N166">
        <v>1007</v>
      </c>
      <c r="O166" t="s">
        <v>254</v>
      </c>
      <c r="P166" t="s">
        <v>254</v>
      </c>
      <c r="Q166">
        <v>1</v>
      </c>
      <c r="W166">
        <v>0</v>
      </c>
      <c r="X166">
        <v>-2113302258</v>
      </c>
      <c r="Y166">
        <v>0.16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6.71</v>
      </c>
      <c r="AJ166">
        <v>1</v>
      </c>
      <c r="AK166">
        <v>1</v>
      </c>
      <c r="AL166">
        <v>1</v>
      </c>
      <c r="AN166">
        <v>0</v>
      </c>
      <c r="AO166">
        <v>0</v>
      </c>
      <c r="AP166">
        <v>0</v>
      </c>
      <c r="AQ166">
        <v>0</v>
      </c>
      <c r="AR166">
        <v>0</v>
      </c>
      <c r="AS166" t="s">
        <v>6</v>
      </c>
      <c r="AT166">
        <v>0.16</v>
      </c>
      <c r="AU166" t="s">
        <v>6</v>
      </c>
      <c r="AV166">
        <v>0</v>
      </c>
      <c r="AW166">
        <v>2</v>
      </c>
      <c r="AX166">
        <v>16810504</v>
      </c>
      <c r="AY166">
        <v>1</v>
      </c>
      <c r="AZ166">
        <v>0</v>
      </c>
      <c r="BA166">
        <v>163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Y166*Source!I112</f>
        <v>7.392E-2</v>
      </c>
      <c r="CY166">
        <f>AA166</f>
        <v>0</v>
      </c>
      <c r="CZ166">
        <f>AE166</f>
        <v>0</v>
      </c>
      <c r="DA166">
        <f>AI166</f>
        <v>6.71</v>
      </c>
      <c r="DB166">
        <f>ROUND(ROUND(AT166*CZ166,2),2)</f>
        <v>0</v>
      </c>
      <c r="DC166">
        <f>ROUND(ROUND(AT166*AG166,2),2)</f>
        <v>0</v>
      </c>
    </row>
    <row r="167" spans="1:107" x14ac:dyDescent="0.2">
      <c r="A167">
        <f>ROW(Source!A112)</f>
        <v>112</v>
      </c>
      <c r="B167">
        <v>16808636</v>
      </c>
      <c r="C167">
        <v>16810492</v>
      </c>
      <c r="D167">
        <v>15172839</v>
      </c>
      <c r="E167">
        <v>1</v>
      </c>
      <c r="F167">
        <v>1</v>
      </c>
      <c r="G167">
        <v>1</v>
      </c>
      <c r="H167">
        <v>3</v>
      </c>
      <c r="I167" t="s">
        <v>256</v>
      </c>
      <c r="J167" t="s">
        <v>258</v>
      </c>
      <c r="K167" t="s">
        <v>257</v>
      </c>
      <c r="L167">
        <v>1339</v>
      </c>
      <c r="N167">
        <v>1007</v>
      </c>
      <c r="O167" t="s">
        <v>254</v>
      </c>
      <c r="P167" t="s">
        <v>254</v>
      </c>
      <c r="Q167">
        <v>1</v>
      </c>
      <c r="W167">
        <v>0</v>
      </c>
      <c r="X167">
        <v>121454568</v>
      </c>
      <c r="Y167">
        <v>0.16</v>
      </c>
      <c r="AA167">
        <v>4373.4399999999996</v>
      </c>
      <c r="AB167">
        <v>0</v>
      </c>
      <c r="AC167">
        <v>0</v>
      </c>
      <c r="AD167">
        <v>0</v>
      </c>
      <c r="AE167">
        <v>651.78</v>
      </c>
      <c r="AF167">
        <v>0</v>
      </c>
      <c r="AG167">
        <v>0</v>
      </c>
      <c r="AH167">
        <v>0</v>
      </c>
      <c r="AI167">
        <v>6.71</v>
      </c>
      <c r="AJ167">
        <v>1</v>
      </c>
      <c r="AK167">
        <v>1</v>
      </c>
      <c r="AL167">
        <v>1</v>
      </c>
      <c r="AN167">
        <v>0</v>
      </c>
      <c r="AO167">
        <v>0</v>
      </c>
      <c r="AP167">
        <v>0</v>
      </c>
      <c r="AQ167">
        <v>0</v>
      </c>
      <c r="AR167">
        <v>0</v>
      </c>
      <c r="AS167" t="s">
        <v>6</v>
      </c>
      <c r="AT167">
        <v>0.16</v>
      </c>
      <c r="AU167" t="s">
        <v>6</v>
      </c>
      <c r="AV167">
        <v>0</v>
      </c>
      <c r="AW167">
        <v>1</v>
      </c>
      <c r="AX167">
        <v>-1</v>
      </c>
      <c r="AY167">
        <v>0</v>
      </c>
      <c r="AZ167">
        <v>0</v>
      </c>
      <c r="BA167" t="s">
        <v>6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Y167*Source!I112</f>
        <v>7.392E-2</v>
      </c>
      <c r="CY167">
        <f>AA167</f>
        <v>4373.4399999999996</v>
      </c>
      <c r="CZ167">
        <f>AE167</f>
        <v>651.78</v>
      </c>
      <c r="DA167">
        <f>AI167</f>
        <v>6.71</v>
      </c>
      <c r="DB167">
        <f>ROUND(ROUND(AT167*CZ167,2),2)</f>
        <v>104.28</v>
      </c>
      <c r="DC167">
        <f>ROUND(ROUND(AT167*AG167,2),2)</f>
        <v>0</v>
      </c>
    </row>
    <row r="168" spans="1:107" x14ac:dyDescent="0.2">
      <c r="A168">
        <f>ROW(Source!A112)</f>
        <v>112</v>
      </c>
      <c r="B168">
        <v>16808636</v>
      </c>
      <c r="C168">
        <v>16810492</v>
      </c>
      <c r="D168">
        <v>15162753</v>
      </c>
      <c r="E168">
        <v>17</v>
      </c>
      <c r="F168">
        <v>1</v>
      </c>
      <c r="G168">
        <v>1</v>
      </c>
      <c r="H168">
        <v>3</v>
      </c>
      <c r="I168" t="s">
        <v>309</v>
      </c>
      <c r="J168" t="s">
        <v>6</v>
      </c>
      <c r="K168" t="s">
        <v>310</v>
      </c>
      <c r="L168">
        <v>1301</v>
      </c>
      <c r="N168">
        <v>1003</v>
      </c>
      <c r="O168" t="s">
        <v>202</v>
      </c>
      <c r="P168" t="s">
        <v>202</v>
      </c>
      <c r="Q168">
        <v>1</v>
      </c>
      <c r="W168">
        <v>0</v>
      </c>
      <c r="X168">
        <v>1949164399</v>
      </c>
      <c r="Y168">
        <v>101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6.71</v>
      </c>
      <c r="AJ168">
        <v>1</v>
      </c>
      <c r="AK168">
        <v>1</v>
      </c>
      <c r="AL168">
        <v>1</v>
      </c>
      <c r="AN168">
        <v>0</v>
      </c>
      <c r="AO168">
        <v>0</v>
      </c>
      <c r="AP168">
        <v>0</v>
      </c>
      <c r="AQ168">
        <v>0</v>
      </c>
      <c r="AR168">
        <v>0</v>
      </c>
      <c r="AS168" t="s">
        <v>6</v>
      </c>
      <c r="AT168">
        <v>101</v>
      </c>
      <c r="AU168" t="s">
        <v>6</v>
      </c>
      <c r="AV168">
        <v>0</v>
      </c>
      <c r="AW168">
        <v>2</v>
      </c>
      <c r="AX168">
        <v>16810505</v>
      </c>
      <c r="AY168">
        <v>1</v>
      </c>
      <c r="AZ168">
        <v>0</v>
      </c>
      <c r="BA168">
        <v>164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Y168*Source!I112</f>
        <v>46.661999999999999</v>
      </c>
      <c r="CY168">
        <f>AA168</f>
        <v>0</v>
      </c>
      <c r="CZ168">
        <f>AE168</f>
        <v>0</v>
      </c>
      <c r="DA168">
        <f>AI168</f>
        <v>6.71</v>
      </c>
      <c r="DB168">
        <f>ROUND(ROUND(AT168*CZ168,2),2)</f>
        <v>0</v>
      </c>
      <c r="DC168">
        <f>ROUND(ROUND(AT168*AG168,2),2)</f>
        <v>0</v>
      </c>
    </row>
    <row r="169" spans="1:107" x14ac:dyDescent="0.2">
      <c r="A169">
        <f>ROW(Source!A112)</f>
        <v>112</v>
      </c>
      <c r="B169">
        <v>16808636</v>
      </c>
      <c r="C169">
        <v>16810492</v>
      </c>
      <c r="D169">
        <v>15187109</v>
      </c>
      <c r="E169">
        <v>1</v>
      </c>
      <c r="F169">
        <v>1</v>
      </c>
      <c r="G169">
        <v>1</v>
      </c>
      <c r="H169">
        <v>3</v>
      </c>
      <c r="I169" t="s">
        <v>312</v>
      </c>
      <c r="J169" t="s">
        <v>314</v>
      </c>
      <c r="K169" t="s">
        <v>313</v>
      </c>
      <c r="L169">
        <v>1301</v>
      </c>
      <c r="N169">
        <v>1003</v>
      </c>
      <c r="O169" t="s">
        <v>202</v>
      </c>
      <c r="P169" t="s">
        <v>202</v>
      </c>
      <c r="Q169">
        <v>1</v>
      </c>
      <c r="W169">
        <v>0</v>
      </c>
      <c r="X169">
        <v>831643793</v>
      </c>
      <c r="Y169">
        <v>101</v>
      </c>
      <c r="AA169">
        <v>159.22999999999999</v>
      </c>
      <c r="AB169">
        <v>0</v>
      </c>
      <c r="AC169">
        <v>0</v>
      </c>
      <c r="AD169">
        <v>0</v>
      </c>
      <c r="AE169">
        <v>23.73</v>
      </c>
      <c r="AF169">
        <v>0</v>
      </c>
      <c r="AG169">
        <v>0</v>
      </c>
      <c r="AH169">
        <v>0</v>
      </c>
      <c r="AI169">
        <v>6.71</v>
      </c>
      <c r="AJ169">
        <v>1</v>
      </c>
      <c r="AK169">
        <v>1</v>
      </c>
      <c r="AL169">
        <v>1</v>
      </c>
      <c r="AN169">
        <v>0</v>
      </c>
      <c r="AO169">
        <v>0</v>
      </c>
      <c r="AP169">
        <v>0</v>
      </c>
      <c r="AQ169">
        <v>0</v>
      </c>
      <c r="AR169">
        <v>0</v>
      </c>
      <c r="AS169" t="s">
        <v>6</v>
      </c>
      <c r="AT169">
        <v>101</v>
      </c>
      <c r="AU169" t="s">
        <v>6</v>
      </c>
      <c r="AV169">
        <v>0</v>
      </c>
      <c r="AW169">
        <v>1</v>
      </c>
      <c r="AX169">
        <v>-1</v>
      </c>
      <c r="AY169">
        <v>0</v>
      </c>
      <c r="AZ169">
        <v>0</v>
      </c>
      <c r="BA169" t="s">
        <v>6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Y169*Source!I112</f>
        <v>46.661999999999999</v>
      </c>
      <c r="CY169">
        <f>AA169</f>
        <v>159.22999999999999</v>
      </c>
      <c r="CZ169">
        <f>AE169</f>
        <v>23.73</v>
      </c>
      <c r="DA169">
        <f>AI169</f>
        <v>6.71</v>
      </c>
      <c r="DB169">
        <f>ROUND(ROUND(AT169*CZ169,2),2)</f>
        <v>2396.73</v>
      </c>
      <c r="DC169">
        <f>ROUND(ROUND(AT169*AG169,2),2)</f>
        <v>0</v>
      </c>
    </row>
    <row r="170" spans="1:107" x14ac:dyDescent="0.2">
      <c r="A170">
        <f>ROW(Source!A117)</f>
        <v>117</v>
      </c>
      <c r="B170">
        <v>16808636</v>
      </c>
      <c r="C170">
        <v>16810509</v>
      </c>
      <c r="D170">
        <v>15438286</v>
      </c>
      <c r="E170">
        <v>1</v>
      </c>
      <c r="F170">
        <v>1</v>
      </c>
      <c r="G170">
        <v>1</v>
      </c>
      <c r="H170">
        <v>1</v>
      </c>
      <c r="I170" t="s">
        <v>805</v>
      </c>
      <c r="J170" t="s">
        <v>6</v>
      </c>
      <c r="K170" t="s">
        <v>806</v>
      </c>
      <c r="L170">
        <v>1191</v>
      </c>
      <c r="N170">
        <v>1013</v>
      </c>
      <c r="O170" t="s">
        <v>708</v>
      </c>
      <c r="P170" t="s">
        <v>708</v>
      </c>
      <c r="Q170">
        <v>1</v>
      </c>
      <c r="W170">
        <v>0</v>
      </c>
      <c r="X170">
        <v>-1027537862</v>
      </c>
      <c r="Y170">
        <v>9.218399999999999</v>
      </c>
      <c r="AA170">
        <v>0</v>
      </c>
      <c r="AB170">
        <v>0</v>
      </c>
      <c r="AC170">
        <v>0</v>
      </c>
      <c r="AD170">
        <v>61.6</v>
      </c>
      <c r="AE170">
        <v>0</v>
      </c>
      <c r="AF170">
        <v>0</v>
      </c>
      <c r="AG170">
        <v>0</v>
      </c>
      <c r="AH170">
        <v>9.18</v>
      </c>
      <c r="AI170">
        <v>1</v>
      </c>
      <c r="AJ170">
        <v>1</v>
      </c>
      <c r="AK170">
        <v>1</v>
      </c>
      <c r="AL170">
        <v>6.71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6</v>
      </c>
      <c r="AT170">
        <v>6.68</v>
      </c>
      <c r="AU170" t="s">
        <v>175</v>
      </c>
      <c r="AV170">
        <v>1</v>
      </c>
      <c r="AW170">
        <v>2</v>
      </c>
      <c r="AX170">
        <v>16810528</v>
      </c>
      <c r="AY170">
        <v>1</v>
      </c>
      <c r="AZ170">
        <v>0</v>
      </c>
      <c r="BA170">
        <v>165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Y170*Source!I117</f>
        <v>9.9097799999999978</v>
      </c>
      <c r="CY170">
        <f>AD170</f>
        <v>61.6</v>
      </c>
      <c r="CZ170">
        <f>AH170</f>
        <v>9.18</v>
      </c>
      <c r="DA170">
        <f>AL170</f>
        <v>6.71</v>
      </c>
      <c r="DB170">
        <f>ROUND(((ROUND(AT170*CZ170,2)*1.15)*1.2),2)</f>
        <v>84.62</v>
      </c>
      <c r="DC170">
        <f>ROUND(((ROUND(AT170*AG170,2)*1.15)*1.2),2)</f>
        <v>0</v>
      </c>
    </row>
    <row r="171" spans="1:107" x14ac:dyDescent="0.2">
      <c r="A171">
        <f>ROW(Source!A117)</f>
        <v>117</v>
      </c>
      <c r="B171">
        <v>16808636</v>
      </c>
      <c r="C171">
        <v>16810509</v>
      </c>
      <c r="D171">
        <v>15430395</v>
      </c>
      <c r="E171">
        <v>1</v>
      </c>
      <c r="F171">
        <v>1</v>
      </c>
      <c r="G171">
        <v>1</v>
      </c>
      <c r="H171">
        <v>1</v>
      </c>
      <c r="I171" t="s">
        <v>709</v>
      </c>
      <c r="J171" t="s">
        <v>6</v>
      </c>
      <c r="K171" t="s">
        <v>710</v>
      </c>
      <c r="L171">
        <v>1191</v>
      </c>
      <c r="N171">
        <v>1013</v>
      </c>
      <c r="O171" t="s">
        <v>708</v>
      </c>
      <c r="P171" t="s">
        <v>708</v>
      </c>
      <c r="Q171">
        <v>1</v>
      </c>
      <c r="W171">
        <v>0</v>
      </c>
      <c r="X171">
        <v>-1417349443</v>
      </c>
      <c r="Y171">
        <v>0.04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6.71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6</v>
      </c>
      <c r="AT171">
        <v>0.04</v>
      </c>
      <c r="AU171" t="s">
        <v>6</v>
      </c>
      <c r="AV171">
        <v>2</v>
      </c>
      <c r="AW171">
        <v>2</v>
      </c>
      <c r="AX171">
        <v>16810529</v>
      </c>
      <c r="AY171">
        <v>1</v>
      </c>
      <c r="AZ171">
        <v>2048</v>
      </c>
      <c r="BA171">
        <v>166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Y171*Source!I117</f>
        <v>4.2999999999999997E-2</v>
      </c>
      <c r="CY171">
        <f>AD171</f>
        <v>0</v>
      </c>
      <c r="CZ171">
        <f>AH171</f>
        <v>0</v>
      </c>
      <c r="DA171">
        <f>AL171</f>
        <v>1</v>
      </c>
      <c r="DB171">
        <f>ROUND(ROUND(AT171*CZ171,2),2)</f>
        <v>0</v>
      </c>
      <c r="DC171">
        <f>ROUND(ROUND(AT171*AG171,2),2)</f>
        <v>0</v>
      </c>
    </row>
    <row r="172" spans="1:107" x14ac:dyDescent="0.2">
      <c r="A172">
        <f>ROW(Source!A117)</f>
        <v>117</v>
      </c>
      <c r="B172">
        <v>16808636</v>
      </c>
      <c r="C172">
        <v>16810509</v>
      </c>
      <c r="D172">
        <v>15247974</v>
      </c>
      <c r="E172">
        <v>1</v>
      </c>
      <c r="F172">
        <v>1</v>
      </c>
      <c r="G172">
        <v>1</v>
      </c>
      <c r="H172">
        <v>2</v>
      </c>
      <c r="I172" t="s">
        <v>711</v>
      </c>
      <c r="J172" t="s">
        <v>712</v>
      </c>
      <c r="K172" t="s">
        <v>713</v>
      </c>
      <c r="L172">
        <v>1368</v>
      </c>
      <c r="N172">
        <v>1011</v>
      </c>
      <c r="O172" t="s">
        <v>714</v>
      </c>
      <c r="P172" t="s">
        <v>714</v>
      </c>
      <c r="Q172">
        <v>1</v>
      </c>
      <c r="W172">
        <v>0</v>
      </c>
      <c r="X172">
        <v>1188625873</v>
      </c>
      <c r="Y172">
        <v>7.4999999999999997E-3</v>
      </c>
      <c r="AA172">
        <v>0</v>
      </c>
      <c r="AB172">
        <v>209.75</v>
      </c>
      <c r="AC172">
        <v>13.5</v>
      </c>
      <c r="AD172">
        <v>0</v>
      </c>
      <c r="AE172">
        <v>0</v>
      </c>
      <c r="AF172">
        <v>31.26</v>
      </c>
      <c r="AG172">
        <v>13.5</v>
      </c>
      <c r="AH172">
        <v>0</v>
      </c>
      <c r="AI172">
        <v>1</v>
      </c>
      <c r="AJ172">
        <v>6.71</v>
      </c>
      <c r="AK172">
        <v>1</v>
      </c>
      <c r="AL172">
        <v>1</v>
      </c>
      <c r="AN172">
        <v>0</v>
      </c>
      <c r="AO172">
        <v>1</v>
      </c>
      <c r="AP172">
        <v>1</v>
      </c>
      <c r="AQ172">
        <v>0</v>
      </c>
      <c r="AR172">
        <v>0</v>
      </c>
      <c r="AS172" t="s">
        <v>6</v>
      </c>
      <c r="AT172">
        <v>5.0000000000000001E-3</v>
      </c>
      <c r="AU172" t="s">
        <v>174</v>
      </c>
      <c r="AV172">
        <v>0</v>
      </c>
      <c r="AW172">
        <v>2</v>
      </c>
      <c r="AX172">
        <v>16810530</v>
      </c>
      <c r="AY172">
        <v>1</v>
      </c>
      <c r="AZ172">
        <v>0</v>
      </c>
      <c r="BA172">
        <v>167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Y172*Source!I117</f>
        <v>8.0625000000000002E-3</v>
      </c>
      <c r="CY172">
        <f>AB172</f>
        <v>209.75</v>
      </c>
      <c r="CZ172">
        <f>AF172</f>
        <v>31.26</v>
      </c>
      <c r="DA172">
        <f>AJ172</f>
        <v>6.71</v>
      </c>
      <c r="DB172">
        <f>ROUND(((ROUND(AT172*CZ172,2)*1.25)*1.2),2)</f>
        <v>0.24</v>
      </c>
      <c r="DC172">
        <f>ROUND(((ROUND(AT172*AG172,2)*1.25)*1.2),2)</f>
        <v>0.11</v>
      </c>
    </row>
    <row r="173" spans="1:107" x14ac:dyDescent="0.2">
      <c r="A173">
        <f>ROW(Source!A117)</f>
        <v>117</v>
      </c>
      <c r="B173">
        <v>16808636</v>
      </c>
      <c r="C173">
        <v>16810509</v>
      </c>
      <c r="D173">
        <v>15249073</v>
      </c>
      <c r="E173">
        <v>1</v>
      </c>
      <c r="F173">
        <v>1</v>
      </c>
      <c r="G173">
        <v>1</v>
      </c>
      <c r="H173">
        <v>2</v>
      </c>
      <c r="I173" t="s">
        <v>724</v>
      </c>
      <c r="J173" t="s">
        <v>725</v>
      </c>
      <c r="K173" t="s">
        <v>726</v>
      </c>
      <c r="L173">
        <v>1368</v>
      </c>
      <c r="N173">
        <v>1011</v>
      </c>
      <c r="O173" t="s">
        <v>714</v>
      </c>
      <c r="P173" t="s">
        <v>714</v>
      </c>
      <c r="Q173">
        <v>1</v>
      </c>
      <c r="W173">
        <v>0</v>
      </c>
      <c r="X173">
        <v>1372534845</v>
      </c>
      <c r="Y173">
        <v>4.4999999999999998E-2</v>
      </c>
      <c r="AA173">
        <v>0</v>
      </c>
      <c r="AB173">
        <v>440.91</v>
      </c>
      <c r="AC173">
        <v>11.6</v>
      </c>
      <c r="AD173">
        <v>0</v>
      </c>
      <c r="AE173">
        <v>0</v>
      </c>
      <c r="AF173">
        <v>65.709999999999994</v>
      </c>
      <c r="AG173">
        <v>11.6</v>
      </c>
      <c r="AH173">
        <v>0</v>
      </c>
      <c r="AI173">
        <v>1</v>
      </c>
      <c r="AJ173">
        <v>6.71</v>
      </c>
      <c r="AK173">
        <v>1</v>
      </c>
      <c r="AL173">
        <v>1</v>
      </c>
      <c r="AN173">
        <v>0</v>
      </c>
      <c r="AO173">
        <v>1</v>
      </c>
      <c r="AP173">
        <v>1</v>
      </c>
      <c r="AQ173">
        <v>0</v>
      </c>
      <c r="AR173">
        <v>0</v>
      </c>
      <c r="AS173" t="s">
        <v>6</v>
      </c>
      <c r="AT173">
        <v>0.03</v>
      </c>
      <c r="AU173" t="s">
        <v>174</v>
      </c>
      <c r="AV173">
        <v>0</v>
      </c>
      <c r="AW173">
        <v>2</v>
      </c>
      <c r="AX173">
        <v>16810531</v>
      </c>
      <c r="AY173">
        <v>1</v>
      </c>
      <c r="AZ173">
        <v>0</v>
      </c>
      <c r="BA173">
        <v>168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Y173*Source!I117</f>
        <v>4.8374999999999994E-2</v>
      </c>
      <c r="CY173">
        <f>AB173</f>
        <v>440.91</v>
      </c>
      <c r="CZ173">
        <f>AF173</f>
        <v>65.709999999999994</v>
      </c>
      <c r="DA173">
        <f>AJ173</f>
        <v>6.71</v>
      </c>
      <c r="DB173">
        <f>ROUND(((ROUND(AT173*CZ173,2)*1.25)*1.2),2)</f>
        <v>2.96</v>
      </c>
      <c r="DC173">
        <f>ROUND(((ROUND(AT173*AG173,2)*1.25)*1.2),2)</f>
        <v>0.53</v>
      </c>
    </row>
    <row r="174" spans="1:107" x14ac:dyDescent="0.2">
      <c r="A174">
        <f>ROW(Source!A117)</f>
        <v>117</v>
      </c>
      <c r="B174">
        <v>16808636</v>
      </c>
      <c r="C174">
        <v>16810509</v>
      </c>
      <c r="D174">
        <v>15169972</v>
      </c>
      <c r="E174">
        <v>1</v>
      </c>
      <c r="F174">
        <v>1</v>
      </c>
      <c r="G174">
        <v>1</v>
      </c>
      <c r="H174">
        <v>3</v>
      </c>
      <c r="I174" t="s">
        <v>879</v>
      </c>
      <c r="J174" t="s">
        <v>880</v>
      </c>
      <c r="K174" t="s">
        <v>881</v>
      </c>
      <c r="L174">
        <v>1355</v>
      </c>
      <c r="N174">
        <v>1010</v>
      </c>
      <c r="O174" t="s">
        <v>326</v>
      </c>
      <c r="P174" t="s">
        <v>326</v>
      </c>
      <c r="Q174">
        <v>100</v>
      </c>
      <c r="W174">
        <v>0</v>
      </c>
      <c r="X174">
        <v>-725528132</v>
      </c>
      <c r="Y174">
        <v>2.63</v>
      </c>
      <c r="AA174">
        <v>80.52</v>
      </c>
      <c r="AB174">
        <v>0</v>
      </c>
      <c r="AC174">
        <v>0</v>
      </c>
      <c r="AD174">
        <v>0</v>
      </c>
      <c r="AE174">
        <v>12</v>
      </c>
      <c r="AF174">
        <v>0</v>
      </c>
      <c r="AG174">
        <v>0</v>
      </c>
      <c r="AH174">
        <v>0</v>
      </c>
      <c r="AI174">
        <v>6.71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6</v>
      </c>
      <c r="AT174">
        <v>2.63</v>
      </c>
      <c r="AU174" t="s">
        <v>6</v>
      </c>
      <c r="AV174">
        <v>0</v>
      </c>
      <c r="AW174">
        <v>2</v>
      </c>
      <c r="AX174">
        <v>16810532</v>
      </c>
      <c r="AY174">
        <v>1</v>
      </c>
      <c r="AZ174">
        <v>0</v>
      </c>
      <c r="BA174">
        <v>169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Y174*Source!I117</f>
        <v>2.8272499999999998</v>
      </c>
      <c r="CY174">
        <f t="shared" ref="CY174:CY187" si="29">AA174</f>
        <v>80.52</v>
      </c>
      <c r="CZ174">
        <f t="shared" ref="CZ174:CZ187" si="30">AE174</f>
        <v>12</v>
      </c>
      <c r="DA174">
        <f t="shared" ref="DA174:DA187" si="31">AI174</f>
        <v>6.71</v>
      </c>
      <c r="DB174">
        <f t="shared" ref="DB174:DB187" si="32">ROUND(ROUND(AT174*CZ174,2),2)</f>
        <v>31.56</v>
      </c>
      <c r="DC174">
        <f t="shared" ref="DC174:DC187" si="33">ROUND(ROUND(AT174*AG174,2),2)</f>
        <v>0</v>
      </c>
    </row>
    <row r="175" spans="1:107" x14ac:dyDescent="0.2">
      <c r="A175">
        <f>ROW(Source!A117)</f>
        <v>117</v>
      </c>
      <c r="B175">
        <v>16808636</v>
      </c>
      <c r="C175">
        <v>16810509</v>
      </c>
      <c r="D175">
        <v>15170075</v>
      </c>
      <c r="E175">
        <v>1</v>
      </c>
      <c r="F175">
        <v>1</v>
      </c>
      <c r="G175">
        <v>1</v>
      </c>
      <c r="H175">
        <v>3</v>
      </c>
      <c r="I175" t="s">
        <v>882</v>
      </c>
      <c r="J175" t="s">
        <v>883</v>
      </c>
      <c r="K175" t="s">
        <v>884</v>
      </c>
      <c r="L175">
        <v>1356</v>
      </c>
      <c r="N175">
        <v>1010</v>
      </c>
      <c r="O175" t="s">
        <v>744</v>
      </c>
      <c r="P175" t="s">
        <v>744</v>
      </c>
      <c r="Q175">
        <v>1000</v>
      </c>
      <c r="W175">
        <v>0</v>
      </c>
      <c r="X175">
        <v>1130533903</v>
      </c>
      <c r="Y175">
        <v>0.26300000000000001</v>
      </c>
      <c r="AA175">
        <v>1073.5999999999999</v>
      </c>
      <c r="AB175">
        <v>0</v>
      </c>
      <c r="AC175">
        <v>0</v>
      </c>
      <c r="AD175">
        <v>0</v>
      </c>
      <c r="AE175">
        <v>160</v>
      </c>
      <c r="AF175">
        <v>0</v>
      </c>
      <c r="AG175">
        <v>0</v>
      </c>
      <c r="AH175">
        <v>0</v>
      </c>
      <c r="AI175">
        <v>6.71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6</v>
      </c>
      <c r="AT175">
        <v>0.26300000000000001</v>
      </c>
      <c r="AU175" t="s">
        <v>6</v>
      </c>
      <c r="AV175">
        <v>0</v>
      </c>
      <c r="AW175">
        <v>2</v>
      </c>
      <c r="AX175">
        <v>16810533</v>
      </c>
      <c r="AY175">
        <v>1</v>
      </c>
      <c r="AZ175">
        <v>0</v>
      </c>
      <c r="BA175">
        <v>170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Y175*Source!I117</f>
        <v>0.282725</v>
      </c>
      <c r="CY175">
        <f t="shared" si="29"/>
        <v>1073.5999999999999</v>
      </c>
      <c r="CZ175">
        <f t="shared" si="30"/>
        <v>160</v>
      </c>
      <c r="DA175">
        <f t="shared" si="31"/>
        <v>6.71</v>
      </c>
      <c r="DB175">
        <f t="shared" si="32"/>
        <v>42.08</v>
      </c>
      <c r="DC175">
        <f t="shared" si="33"/>
        <v>0</v>
      </c>
    </row>
    <row r="176" spans="1:107" x14ac:dyDescent="0.2">
      <c r="A176">
        <f>ROW(Source!A117)</f>
        <v>117</v>
      </c>
      <c r="B176">
        <v>16808636</v>
      </c>
      <c r="C176">
        <v>16810509</v>
      </c>
      <c r="D176">
        <v>15162756</v>
      </c>
      <c r="E176">
        <v>17</v>
      </c>
      <c r="F176">
        <v>1</v>
      </c>
      <c r="G176">
        <v>1</v>
      </c>
      <c r="H176">
        <v>3</v>
      </c>
      <c r="I176" t="s">
        <v>345</v>
      </c>
      <c r="J176" t="s">
        <v>6</v>
      </c>
      <c r="K176" t="s">
        <v>346</v>
      </c>
      <c r="L176">
        <v>1301</v>
      </c>
      <c r="N176">
        <v>1003</v>
      </c>
      <c r="O176" t="s">
        <v>202</v>
      </c>
      <c r="P176" t="s">
        <v>202</v>
      </c>
      <c r="Q176">
        <v>1</v>
      </c>
      <c r="W176">
        <v>0</v>
      </c>
      <c r="X176">
        <v>-2049262376</v>
      </c>
      <c r="Y176">
        <v>101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6.71</v>
      </c>
      <c r="AJ176">
        <v>1</v>
      </c>
      <c r="AK176">
        <v>1</v>
      </c>
      <c r="AL176">
        <v>1</v>
      </c>
      <c r="AN176">
        <v>0</v>
      </c>
      <c r="AO176">
        <v>0</v>
      </c>
      <c r="AP176">
        <v>0</v>
      </c>
      <c r="AQ176">
        <v>0</v>
      </c>
      <c r="AR176">
        <v>0</v>
      </c>
      <c r="AS176" t="s">
        <v>6</v>
      </c>
      <c r="AT176">
        <v>101</v>
      </c>
      <c r="AU176" t="s">
        <v>6</v>
      </c>
      <c r="AV176">
        <v>0</v>
      </c>
      <c r="AW176">
        <v>2</v>
      </c>
      <c r="AX176">
        <v>16810534</v>
      </c>
      <c r="AY176">
        <v>1</v>
      </c>
      <c r="AZ176">
        <v>0</v>
      </c>
      <c r="BA176">
        <v>171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Y176*Source!I117</f>
        <v>108.57499999999999</v>
      </c>
      <c r="CY176">
        <f t="shared" si="29"/>
        <v>0</v>
      </c>
      <c r="CZ176">
        <f t="shared" si="30"/>
        <v>0</v>
      </c>
      <c r="DA176">
        <f t="shared" si="31"/>
        <v>6.71</v>
      </c>
      <c r="DB176">
        <f t="shared" si="32"/>
        <v>0</v>
      </c>
      <c r="DC176">
        <f t="shared" si="33"/>
        <v>0</v>
      </c>
    </row>
    <row r="177" spans="1:107" x14ac:dyDescent="0.2">
      <c r="A177">
        <f>ROW(Source!A117)</f>
        <v>117</v>
      </c>
      <c r="B177">
        <v>16808636</v>
      </c>
      <c r="C177">
        <v>16810509</v>
      </c>
      <c r="D177">
        <v>15197682</v>
      </c>
      <c r="E177">
        <v>1</v>
      </c>
      <c r="F177">
        <v>1</v>
      </c>
      <c r="G177">
        <v>1</v>
      </c>
      <c r="H177">
        <v>3</v>
      </c>
      <c r="I177" t="s">
        <v>320</v>
      </c>
      <c r="J177" t="s">
        <v>322</v>
      </c>
      <c r="K177" t="s">
        <v>321</v>
      </c>
      <c r="L177">
        <v>1301</v>
      </c>
      <c r="N177">
        <v>1003</v>
      </c>
      <c r="O177" t="s">
        <v>202</v>
      </c>
      <c r="P177" t="s">
        <v>202</v>
      </c>
      <c r="Q177">
        <v>1</v>
      </c>
      <c r="W177">
        <v>0</v>
      </c>
      <c r="X177">
        <v>26470480</v>
      </c>
      <c r="Y177">
        <v>101</v>
      </c>
      <c r="AA177">
        <v>82.53</v>
      </c>
      <c r="AB177">
        <v>0</v>
      </c>
      <c r="AC177">
        <v>0</v>
      </c>
      <c r="AD177">
        <v>0</v>
      </c>
      <c r="AE177">
        <v>12.3</v>
      </c>
      <c r="AF177">
        <v>0</v>
      </c>
      <c r="AG177">
        <v>0</v>
      </c>
      <c r="AH177">
        <v>0</v>
      </c>
      <c r="AI177">
        <v>6.71</v>
      </c>
      <c r="AJ177">
        <v>1</v>
      </c>
      <c r="AK177">
        <v>1</v>
      </c>
      <c r="AL177">
        <v>1</v>
      </c>
      <c r="AN177">
        <v>0</v>
      </c>
      <c r="AO177">
        <v>0</v>
      </c>
      <c r="AP177">
        <v>0</v>
      </c>
      <c r="AQ177">
        <v>0</v>
      </c>
      <c r="AR177">
        <v>0</v>
      </c>
      <c r="AS177" t="s">
        <v>6</v>
      </c>
      <c r="AT177">
        <v>101</v>
      </c>
      <c r="AU177" t="s">
        <v>6</v>
      </c>
      <c r="AV177">
        <v>0</v>
      </c>
      <c r="AW177">
        <v>1</v>
      </c>
      <c r="AX177">
        <v>-1</v>
      </c>
      <c r="AY177">
        <v>0</v>
      </c>
      <c r="AZ177">
        <v>0</v>
      </c>
      <c r="BA177" t="s">
        <v>6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Y177*Source!I117</f>
        <v>108.57499999999999</v>
      </c>
      <c r="CY177">
        <f t="shared" si="29"/>
        <v>82.53</v>
      </c>
      <c r="CZ177">
        <f t="shared" si="30"/>
        <v>12.3</v>
      </c>
      <c r="DA177">
        <f t="shared" si="31"/>
        <v>6.71</v>
      </c>
      <c r="DB177">
        <f t="shared" si="32"/>
        <v>1242.3</v>
      </c>
      <c r="DC177">
        <f t="shared" si="33"/>
        <v>0</v>
      </c>
    </row>
    <row r="178" spans="1:107" x14ac:dyDescent="0.2">
      <c r="A178">
        <f>ROW(Source!A117)</f>
        <v>117</v>
      </c>
      <c r="B178">
        <v>16808636</v>
      </c>
      <c r="C178">
        <v>16810509</v>
      </c>
      <c r="D178">
        <v>15162759</v>
      </c>
      <c r="E178">
        <v>17</v>
      </c>
      <c r="F178">
        <v>1</v>
      </c>
      <c r="G178">
        <v>1</v>
      </c>
      <c r="H178">
        <v>3</v>
      </c>
      <c r="I178" t="s">
        <v>348</v>
      </c>
      <c r="J178" t="s">
        <v>6</v>
      </c>
      <c r="K178" t="s">
        <v>349</v>
      </c>
      <c r="L178">
        <v>1354</v>
      </c>
      <c r="N178">
        <v>1010</v>
      </c>
      <c r="O178" t="s">
        <v>350</v>
      </c>
      <c r="P178" t="s">
        <v>350</v>
      </c>
      <c r="Q178">
        <v>1</v>
      </c>
      <c r="W178">
        <v>0</v>
      </c>
      <c r="X178">
        <v>457303772</v>
      </c>
      <c r="Y178">
        <v>6.511628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6.71</v>
      </c>
      <c r="AJ178">
        <v>1</v>
      </c>
      <c r="AK178">
        <v>1</v>
      </c>
      <c r="AL178">
        <v>1</v>
      </c>
      <c r="AN178">
        <v>0</v>
      </c>
      <c r="AO178">
        <v>0</v>
      </c>
      <c r="AP178">
        <v>0</v>
      </c>
      <c r="AQ178">
        <v>0</v>
      </c>
      <c r="AR178">
        <v>0</v>
      </c>
      <c r="AS178" t="s">
        <v>6</v>
      </c>
      <c r="AT178">
        <v>6.511628</v>
      </c>
      <c r="AU178" t="s">
        <v>6</v>
      </c>
      <c r="AV178">
        <v>0</v>
      </c>
      <c r="AW178">
        <v>2</v>
      </c>
      <c r="AX178">
        <v>16810535</v>
      </c>
      <c r="AY178">
        <v>1</v>
      </c>
      <c r="AZ178">
        <v>6144</v>
      </c>
      <c r="BA178">
        <v>172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Y178*Source!I117</f>
        <v>7.0000000999999994</v>
      </c>
      <c r="CY178">
        <f t="shared" si="29"/>
        <v>0</v>
      </c>
      <c r="CZ178">
        <f t="shared" si="30"/>
        <v>0</v>
      </c>
      <c r="DA178">
        <f t="shared" si="31"/>
        <v>6.71</v>
      </c>
      <c r="DB178">
        <f t="shared" si="32"/>
        <v>0</v>
      </c>
      <c r="DC178">
        <f t="shared" si="33"/>
        <v>0</v>
      </c>
    </row>
    <row r="179" spans="1:107" x14ac:dyDescent="0.2">
      <c r="A179">
        <f>ROW(Source!A117)</f>
        <v>117</v>
      </c>
      <c r="B179">
        <v>16808636</v>
      </c>
      <c r="C179">
        <v>16810509</v>
      </c>
      <c r="D179">
        <v>15162759</v>
      </c>
      <c r="E179">
        <v>17</v>
      </c>
      <c r="F179">
        <v>1</v>
      </c>
      <c r="G179">
        <v>1</v>
      </c>
      <c r="H179">
        <v>3</v>
      </c>
      <c r="I179" t="s">
        <v>348</v>
      </c>
      <c r="J179" t="s">
        <v>6</v>
      </c>
      <c r="K179" t="s">
        <v>352</v>
      </c>
      <c r="L179">
        <v>1354</v>
      </c>
      <c r="N179">
        <v>1010</v>
      </c>
      <c r="O179" t="s">
        <v>350</v>
      </c>
      <c r="P179" t="s">
        <v>350</v>
      </c>
      <c r="Q179">
        <v>1</v>
      </c>
      <c r="W179">
        <v>0</v>
      </c>
      <c r="X179">
        <v>119324816</v>
      </c>
      <c r="Y179">
        <v>6.511628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6.71</v>
      </c>
      <c r="AJ179">
        <v>1</v>
      </c>
      <c r="AK179">
        <v>1</v>
      </c>
      <c r="AL179">
        <v>1</v>
      </c>
      <c r="AN179">
        <v>0</v>
      </c>
      <c r="AO179">
        <v>0</v>
      </c>
      <c r="AP179">
        <v>0</v>
      </c>
      <c r="AQ179">
        <v>0</v>
      </c>
      <c r="AR179">
        <v>0</v>
      </c>
      <c r="AS179" t="s">
        <v>6</v>
      </c>
      <c r="AT179">
        <v>6.511628</v>
      </c>
      <c r="AU179" t="s">
        <v>6</v>
      </c>
      <c r="AV179">
        <v>0</v>
      </c>
      <c r="AW179">
        <v>2</v>
      </c>
      <c r="AX179">
        <v>16810536</v>
      </c>
      <c r="AY179">
        <v>1</v>
      </c>
      <c r="AZ179">
        <v>6144</v>
      </c>
      <c r="BA179">
        <v>173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Y179*Source!I117</f>
        <v>7.0000000999999994</v>
      </c>
      <c r="CY179">
        <f t="shared" si="29"/>
        <v>0</v>
      </c>
      <c r="CZ179">
        <f t="shared" si="30"/>
        <v>0</v>
      </c>
      <c r="DA179">
        <f t="shared" si="31"/>
        <v>6.71</v>
      </c>
      <c r="DB179">
        <f t="shared" si="32"/>
        <v>0</v>
      </c>
      <c r="DC179">
        <f t="shared" si="33"/>
        <v>0</v>
      </c>
    </row>
    <row r="180" spans="1:107" x14ac:dyDescent="0.2">
      <c r="A180">
        <f>ROW(Source!A117)</f>
        <v>117</v>
      </c>
      <c r="B180">
        <v>16808636</v>
      </c>
      <c r="C180">
        <v>16810509</v>
      </c>
      <c r="D180">
        <v>15162759</v>
      </c>
      <c r="E180">
        <v>17</v>
      </c>
      <c r="F180">
        <v>1</v>
      </c>
      <c r="G180">
        <v>1</v>
      </c>
      <c r="H180">
        <v>3</v>
      </c>
      <c r="I180" t="s">
        <v>348</v>
      </c>
      <c r="J180" t="s">
        <v>6</v>
      </c>
      <c r="K180" t="s">
        <v>354</v>
      </c>
      <c r="L180">
        <v>1354</v>
      </c>
      <c r="N180">
        <v>1010</v>
      </c>
      <c r="O180" t="s">
        <v>350</v>
      </c>
      <c r="P180" t="s">
        <v>350</v>
      </c>
      <c r="Q180">
        <v>1</v>
      </c>
      <c r="W180">
        <v>0</v>
      </c>
      <c r="X180">
        <v>2133044040</v>
      </c>
      <c r="Y180">
        <v>40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6.71</v>
      </c>
      <c r="AJ180">
        <v>1</v>
      </c>
      <c r="AK180">
        <v>1</v>
      </c>
      <c r="AL180">
        <v>1</v>
      </c>
      <c r="AN180">
        <v>0</v>
      </c>
      <c r="AO180">
        <v>0</v>
      </c>
      <c r="AP180">
        <v>0</v>
      </c>
      <c r="AQ180">
        <v>0</v>
      </c>
      <c r="AR180">
        <v>0</v>
      </c>
      <c r="AS180" t="s">
        <v>6</v>
      </c>
      <c r="AT180">
        <v>40</v>
      </c>
      <c r="AU180" t="s">
        <v>6</v>
      </c>
      <c r="AV180">
        <v>0</v>
      </c>
      <c r="AW180">
        <v>2</v>
      </c>
      <c r="AX180">
        <v>16810537</v>
      </c>
      <c r="AY180">
        <v>1</v>
      </c>
      <c r="AZ180">
        <v>0</v>
      </c>
      <c r="BA180">
        <v>174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Y180*Source!I117</f>
        <v>43</v>
      </c>
      <c r="CY180">
        <f t="shared" si="29"/>
        <v>0</v>
      </c>
      <c r="CZ180">
        <f t="shared" si="30"/>
        <v>0</v>
      </c>
      <c r="DA180">
        <f t="shared" si="31"/>
        <v>6.71</v>
      </c>
      <c r="DB180">
        <f t="shared" si="32"/>
        <v>0</v>
      </c>
      <c r="DC180">
        <f t="shared" si="33"/>
        <v>0</v>
      </c>
    </row>
    <row r="181" spans="1:107" x14ac:dyDescent="0.2">
      <c r="A181">
        <f>ROW(Source!A117)</f>
        <v>117</v>
      </c>
      <c r="B181">
        <v>16808636</v>
      </c>
      <c r="C181">
        <v>16810509</v>
      </c>
      <c r="D181">
        <v>15162759</v>
      </c>
      <c r="E181">
        <v>17</v>
      </c>
      <c r="F181">
        <v>1</v>
      </c>
      <c r="G181">
        <v>1</v>
      </c>
      <c r="H181">
        <v>3</v>
      </c>
      <c r="I181" t="s">
        <v>348</v>
      </c>
      <c r="J181" t="s">
        <v>6</v>
      </c>
      <c r="K181" t="s">
        <v>356</v>
      </c>
      <c r="L181">
        <v>1354</v>
      </c>
      <c r="N181">
        <v>1010</v>
      </c>
      <c r="O181" t="s">
        <v>350</v>
      </c>
      <c r="P181" t="s">
        <v>350</v>
      </c>
      <c r="Q181">
        <v>1</v>
      </c>
      <c r="W181">
        <v>0</v>
      </c>
      <c r="X181">
        <v>1953413105</v>
      </c>
      <c r="Y181">
        <v>7.4418600000000001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6.71</v>
      </c>
      <c r="AJ181">
        <v>1</v>
      </c>
      <c r="AK181">
        <v>1</v>
      </c>
      <c r="AL181">
        <v>1</v>
      </c>
      <c r="AN181">
        <v>0</v>
      </c>
      <c r="AO181">
        <v>0</v>
      </c>
      <c r="AP181">
        <v>0</v>
      </c>
      <c r="AQ181">
        <v>0</v>
      </c>
      <c r="AR181">
        <v>0</v>
      </c>
      <c r="AS181" t="s">
        <v>6</v>
      </c>
      <c r="AT181">
        <v>7.4418600000000001</v>
      </c>
      <c r="AU181" t="s">
        <v>6</v>
      </c>
      <c r="AV181">
        <v>0</v>
      </c>
      <c r="AW181">
        <v>2</v>
      </c>
      <c r="AX181">
        <v>16810538</v>
      </c>
      <c r="AY181">
        <v>1</v>
      </c>
      <c r="AZ181">
        <v>6144</v>
      </c>
      <c r="BA181">
        <v>175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Y181*Source!I117</f>
        <v>7.9999994999999995</v>
      </c>
      <c r="CY181">
        <f t="shared" si="29"/>
        <v>0</v>
      </c>
      <c r="CZ181">
        <f t="shared" si="30"/>
        <v>0</v>
      </c>
      <c r="DA181">
        <f t="shared" si="31"/>
        <v>6.71</v>
      </c>
      <c r="DB181">
        <f t="shared" si="32"/>
        <v>0</v>
      </c>
      <c r="DC181">
        <f t="shared" si="33"/>
        <v>0</v>
      </c>
    </row>
    <row r="182" spans="1:107" x14ac:dyDescent="0.2">
      <c r="A182">
        <f>ROW(Source!A117)</f>
        <v>117</v>
      </c>
      <c r="B182">
        <v>16808636</v>
      </c>
      <c r="C182">
        <v>16810509</v>
      </c>
      <c r="D182">
        <v>15162759</v>
      </c>
      <c r="E182">
        <v>17</v>
      </c>
      <c r="F182">
        <v>1</v>
      </c>
      <c r="G182">
        <v>1</v>
      </c>
      <c r="H182">
        <v>3</v>
      </c>
      <c r="I182" t="s">
        <v>348</v>
      </c>
      <c r="J182" t="s">
        <v>6</v>
      </c>
      <c r="K182" t="s">
        <v>358</v>
      </c>
      <c r="L182">
        <v>1354</v>
      </c>
      <c r="N182">
        <v>1010</v>
      </c>
      <c r="O182" t="s">
        <v>350</v>
      </c>
      <c r="P182" t="s">
        <v>350</v>
      </c>
      <c r="Q182">
        <v>1</v>
      </c>
      <c r="W182">
        <v>0</v>
      </c>
      <c r="X182">
        <v>-333106949</v>
      </c>
      <c r="Y182">
        <v>7.4418600000000001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6.71</v>
      </c>
      <c r="AJ182">
        <v>1</v>
      </c>
      <c r="AK182">
        <v>1</v>
      </c>
      <c r="AL182">
        <v>1</v>
      </c>
      <c r="AN182">
        <v>0</v>
      </c>
      <c r="AO182">
        <v>0</v>
      </c>
      <c r="AP182">
        <v>0</v>
      </c>
      <c r="AQ182">
        <v>0</v>
      </c>
      <c r="AR182">
        <v>0</v>
      </c>
      <c r="AS182" t="s">
        <v>6</v>
      </c>
      <c r="AT182">
        <v>7.4418600000000001</v>
      </c>
      <c r="AU182" t="s">
        <v>6</v>
      </c>
      <c r="AV182">
        <v>0</v>
      </c>
      <c r="AW182">
        <v>2</v>
      </c>
      <c r="AX182">
        <v>16810539</v>
      </c>
      <c r="AY182">
        <v>1</v>
      </c>
      <c r="AZ182">
        <v>6144</v>
      </c>
      <c r="BA182">
        <v>176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Y182*Source!I117</f>
        <v>7.9999994999999995</v>
      </c>
      <c r="CY182">
        <f t="shared" si="29"/>
        <v>0</v>
      </c>
      <c r="CZ182">
        <f t="shared" si="30"/>
        <v>0</v>
      </c>
      <c r="DA182">
        <f t="shared" si="31"/>
        <v>6.71</v>
      </c>
      <c r="DB182">
        <f t="shared" si="32"/>
        <v>0</v>
      </c>
      <c r="DC182">
        <f t="shared" si="33"/>
        <v>0</v>
      </c>
    </row>
    <row r="183" spans="1:107" x14ac:dyDescent="0.2">
      <c r="A183">
        <f>ROW(Source!A117)</f>
        <v>117</v>
      </c>
      <c r="B183">
        <v>16808636</v>
      </c>
      <c r="C183">
        <v>16810509</v>
      </c>
      <c r="D183">
        <v>15197768</v>
      </c>
      <c r="E183">
        <v>1</v>
      </c>
      <c r="F183">
        <v>1</v>
      </c>
      <c r="G183">
        <v>1</v>
      </c>
      <c r="H183">
        <v>3</v>
      </c>
      <c r="I183" t="s">
        <v>324</v>
      </c>
      <c r="J183" t="s">
        <v>327</v>
      </c>
      <c r="K183" t="s">
        <v>325</v>
      </c>
      <c r="L183">
        <v>1355</v>
      </c>
      <c r="N183">
        <v>1010</v>
      </c>
      <c r="O183" t="s">
        <v>326</v>
      </c>
      <c r="P183" t="s">
        <v>326</v>
      </c>
      <c r="Q183">
        <v>100</v>
      </c>
      <c r="W183">
        <v>0</v>
      </c>
      <c r="X183">
        <v>1345842772</v>
      </c>
      <c r="Y183">
        <v>7.4418999999999999E-2</v>
      </c>
      <c r="AA183">
        <v>422.73</v>
      </c>
      <c r="AB183">
        <v>0</v>
      </c>
      <c r="AC183">
        <v>0</v>
      </c>
      <c r="AD183">
        <v>0</v>
      </c>
      <c r="AE183">
        <v>63</v>
      </c>
      <c r="AF183">
        <v>0</v>
      </c>
      <c r="AG183">
        <v>0</v>
      </c>
      <c r="AH183">
        <v>0</v>
      </c>
      <c r="AI183">
        <v>6.71</v>
      </c>
      <c r="AJ183">
        <v>1</v>
      </c>
      <c r="AK183">
        <v>1</v>
      </c>
      <c r="AL183">
        <v>1</v>
      </c>
      <c r="AN183">
        <v>0</v>
      </c>
      <c r="AO183">
        <v>0</v>
      </c>
      <c r="AP183">
        <v>0</v>
      </c>
      <c r="AQ183">
        <v>0</v>
      </c>
      <c r="AR183">
        <v>0</v>
      </c>
      <c r="AS183" t="s">
        <v>6</v>
      </c>
      <c r="AT183">
        <v>7.4418999999999999E-2</v>
      </c>
      <c r="AU183" t="s">
        <v>6</v>
      </c>
      <c r="AV183">
        <v>0</v>
      </c>
      <c r="AW183">
        <v>1</v>
      </c>
      <c r="AX183">
        <v>-1</v>
      </c>
      <c r="AY183">
        <v>0</v>
      </c>
      <c r="AZ183">
        <v>0</v>
      </c>
      <c r="BA183" t="s">
        <v>6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Y183*Source!I117</f>
        <v>8.0000425E-2</v>
      </c>
      <c r="CY183">
        <f t="shared" si="29"/>
        <v>422.73</v>
      </c>
      <c r="CZ183">
        <f t="shared" si="30"/>
        <v>63</v>
      </c>
      <c r="DA183">
        <f t="shared" si="31"/>
        <v>6.71</v>
      </c>
      <c r="DB183">
        <f t="shared" si="32"/>
        <v>4.6900000000000004</v>
      </c>
      <c r="DC183">
        <f t="shared" si="33"/>
        <v>0</v>
      </c>
    </row>
    <row r="184" spans="1:107" x14ac:dyDescent="0.2">
      <c r="A184">
        <f>ROW(Source!A117)</f>
        <v>117</v>
      </c>
      <c r="B184">
        <v>16808636</v>
      </c>
      <c r="C184">
        <v>16810509</v>
      </c>
      <c r="D184">
        <v>15197770</v>
      </c>
      <c r="E184">
        <v>1</v>
      </c>
      <c r="F184">
        <v>1</v>
      </c>
      <c r="G184">
        <v>1</v>
      </c>
      <c r="H184">
        <v>3</v>
      </c>
      <c r="I184" t="s">
        <v>329</v>
      </c>
      <c r="J184" t="s">
        <v>331</v>
      </c>
      <c r="K184" t="s">
        <v>330</v>
      </c>
      <c r="L184">
        <v>1355</v>
      </c>
      <c r="N184">
        <v>1010</v>
      </c>
      <c r="O184" t="s">
        <v>326</v>
      </c>
      <c r="P184" t="s">
        <v>326</v>
      </c>
      <c r="Q184">
        <v>100</v>
      </c>
      <c r="W184">
        <v>0</v>
      </c>
      <c r="X184">
        <v>1906340979</v>
      </c>
      <c r="Y184">
        <v>7.4418999999999999E-2</v>
      </c>
      <c r="AA184">
        <v>422.73</v>
      </c>
      <c r="AB184">
        <v>0</v>
      </c>
      <c r="AC184">
        <v>0</v>
      </c>
      <c r="AD184">
        <v>0</v>
      </c>
      <c r="AE184">
        <v>63</v>
      </c>
      <c r="AF184">
        <v>0</v>
      </c>
      <c r="AG184">
        <v>0</v>
      </c>
      <c r="AH184">
        <v>0</v>
      </c>
      <c r="AI184">
        <v>6.71</v>
      </c>
      <c r="AJ184">
        <v>1</v>
      </c>
      <c r="AK184">
        <v>1</v>
      </c>
      <c r="AL184">
        <v>1</v>
      </c>
      <c r="AN184">
        <v>0</v>
      </c>
      <c r="AO184">
        <v>0</v>
      </c>
      <c r="AP184">
        <v>0</v>
      </c>
      <c r="AQ184">
        <v>0</v>
      </c>
      <c r="AR184">
        <v>0</v>
      </c>
      <c r="AS184" t="s">
        <v>6</v>
      </c>
      <c r="AT184">
        <v>7.4418999999999999E-2</v>
      </c>
      <c r="AU184" t="s">
        <v>6</v>
      </c>
      <c r="AV184">
        <v>0</v>
      </c>
      <c r="AW184">
        <v>1</v>
      </c>
      <c r="AX184">
        <v>-1</v>
      </c>
      <c r="AY184">
        <v>0</v>
      </c>
      <c r="AZ184">
        <v>0</v>
      </c>
      <c r="BA184" t="s">
        <v>6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Y184*Source!I117</f>
        <v>8.0000425E-2</v>
      </c>
      <c r="CY184">
        <f t="shared" si="29"/>
        <v>422.73</v>
      </c>
      <c r="CZ184">
        <f t="shared" si="30"/>
        <v>63</v>
      </c>
      <c r="DA184">
        <f t="shared" si="31"/>
        <v>6.71</v>
      </c>
      <c r="DB184">
        <f t="shared" si="32"/>
        <v>4.6900000000000004</v>
      </c>
      <c r="DC184">
        <f t="shared" si="33"/>
        <v>0</v>
      </c>
    </row>
    <row r="185" spans="1:107" x14ac:dyDescent="0.2">
      <c r="A185">
        <f>ROW(Source!A117)</f>
        <v>117</v>
      </c>
      <c r="B185">
        <v>16808636</v>
      </c>
      <c r="C185">
        <v>16810509</v>
      </c>
      <c r="D185">
        <v>15197772</v>
      </c>
      <c r="E185">
        <v>1</v>
      </c>
      <c r="F185">
        <v>1</v>
      </c>
      <c r="G185">
        <v>1</v>
      </c>
      <c r="H185">
        <v>3</v>
      </c>
      <c r="I185" t="s">
        <v>333</v>
      </c>
      <c r="J185" t="s">
        <v>335</v>
      </c>
      <c r="K185" t="s">
        <v>334</v>
      </c>
      <c r="L185">
        <v>1355</v>
      </c>
      <c r="N185">
        <v>1010</v>
      </c>
      <c r="O185" t="s">
        <v>326</v>
      </c>
      <c r="P185" t="s">
        <v>326</v>
      </c>
      <c r="Q185">
        <v>100</v>
      </c>
      <c r="W185">
        <v>0</v>
      </c>
      <c r="X185">
        <v>848075668</v>
      </c>
      <c r="Y185">
        <v>0.4</v>
      </c>
      <c r="AA185">
        <v>858.88</v>
      </c>
      <c r="AB185">
        <v>0</v>
      </c>
      <c r="AC185">
        <v>0</v>
      </c>
      <c r="AD185">
        <v>0</v>
      </c>
      <c r="AE185">
        <v>128</v>
      </c>
      <c r="AF185">
        <v>0</v>
      </c>
      <c r="AG185">
        <v>0</v>
      </c>
      <c r="AH185">
        <v>0</v>
      </c>
      <c r="AI185">
        <v>6.71</v>
      </c>
      <c r="AJ185">
        <v>1</v>
      </c>
      <c r="AK185">
        <v>1</v>
      </c>
      <c r="AL185">
        <v>1</v>
      </c>
      <c r="AN185">
        <v>0</v>
      </c>
      <c r="AO185">
        <v>0</v>
      </c>
      <c r="AP185">
        <v>0</v>
      </c>
      <c r="AQ185">
        <v>0</v>
      </c>
      <c r="AR185">
        <v>0</v>
      </c>
      <c r="AS185" t="s">
        <v>6</v>
      </c>
      <c r="AT185">
        <v>0.4</v>
      </c>
      <c r="AU185" t="s">
        <v>6</v>
      </c>
      <c r="AV185">
        <v>0</v>
      </c>
      <c r="AW185">
        <v>1</v>
      </c>
      <c r="AX185">
        <v>-1</v>
      </c>
      <c r="AY185">
        <v>0</v>
      </c>
      <c r="AZ185">
        <v>0</v>
      </c>
      <c r="BA185" t="s">
        <v>6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Y185*Source!I117</f>
        <v>0.43</v>
      </c>
      <c r="CY185">
        <f t="shared" si="29"/>
        <v>858.88</v>
      </c>
      <c r="CZ185">
        <f t="shared" si="30"/>
        <v>128</v>
      </c>
      <c r="DA185">
        <f t="shared" si="31"/>
        <v>6.71</v>
      </c>
      <c r="DB185">
        <f t="shared" si="32"/>
        <v>51.2</v>
      </c>
      <c r="DC185">
        <f t="shared" si="33"/>
        <v>0</v>
      </c>
    </row>
    <row r="186" spans="1:107" x14ac:dyDescent="0.2">
      <c r="A186">
        <f>ROW(Source!A117)</f>
        <v>117</v>
      </c>
      <c r="B186">
        <v>16808636</v>
      </c>
      <c r="C186">
        <v>16810509</v>
      </c>
      <c r="D186">
        <v>15197774</v>
      </c>
      <c r="E186">
        <v>1</v>
      </c>
      <c r="F186">
        <v>1</v>
      </c>
      <c r="G186">
        <v>1</v>
      </c>
      <c r="H186">
        <v>3</v>
      </c>
      <c r="I186" t="s">
        <v>337</v>
      </c>
      <c r="J186" t="s">
        <v>339</v>
      </c>
      <c r="K186" t="s">
        <v>338</v>
      </c>
      <c r="L186">
        <v>1355</v>
      </c>
      <c r="N186">
        <v>1010</v>
      </c>
      <c r="O186" t="s">
        <v>326</v>
      </c>
      <c r="P186" t="s">
        <v>326</v>
      </c>
      <c r="Q186">
        <v>100</v>
      </c>
      <c r="W186">
        <v>0</v>
      </c>
      <c r="X186">
        <v>1508644261</v>
      </c>
      <c r="Y186">
        <v>6.5115999999999993E-2</v>
      </c>
      <c r="AA186">
        <v>858.88</v>
      </c>
      <c r="AB186">
        <v>0</v>
      </c>
      <c r="AC186">
        <v>0</v>
      </c>
      <c r="AD186">
        <v>0</v>
      </c>
      <c r="AE186">
        <v>128</v>
      </c>
      <c r="AF186">
        <v>0</v>
      </c>
      <c r="AG186">
        <v>0</v>
      </c>
      <c r="AH186">
        <v>0</v>
      </c>
      <c r="AI186">
        <v>6.71</v>
      </c>
      <c r="AJ186">
        <v>1</v>
      </c>
      <c r="AK186">
        <v>1</v>
      </c>
      <c r="AL186">
        <v>1</v>
      </c>
      <c r="AN186">
        <v>0</v>
      </c>
      <c r="AO186">
        <v>0</v>
      </c>
      <c r="AP186">
        <v>0</v>
      </c>
      <c r="AQ186">
        <v>0</v>
      </c>
      <c r="AR186">
        <v>0</v>
      </c>
      <c r="AS186" t="s">
        <v>6</v>
      </c>
      <c r="AT186">
        <v>6.5115999999999993E-2</v>
      </c>
      <c r="AU186" t="s">
        <v>6</v>
      </c>
      <c r="AV186">
        <v>0</v>
      </c>
      <c r="AW186">
        <v>1</v>
      </c>
      <c r="AX186">
        <v>-1</v>
      </c>
      <c r="AY186">
        <v>0</v>
      </c>
      <c r="AZ186">
        <v>0</v>
      </c>
      <c r="BA186" t="s">
        <v>6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Y186*Source!I117</f>
        <v>6.9999699999999984E-2</v>
      </c>
      <c r="CY186">
        <f t="shared" si="29"/>
        <v>858.88</v>
      </c>
      <c r="CZ186">
        <f t="shared" si="30"/>
        <v>128</v>
      </c>
      <c r="DA186">
        <f t="shared" si="31"/>
        <v>6.71</v>
      </c>
      <c r="DB186">
        <f t="shared" si="32"/>
        <v>8.33</v>
      </c>
      <c r="DC186">
        <f t="shared" si="33"/>
        <v>0</v>
      </c>
    </row>
    <row r="187" spans="1:107" x14ac:dyDescent="0.2">
      <c r="A187">
        <f>ROW(Source!A117)</f>
        <v>117</v>
      </c>
      <c r="B187">
        <v>16808636</v>
      </c>
      <c r="C187">
        <v>16810509</v>
      </c>
      <c r="D187">
        <v>15197776</v>
      </c>
      <c r="E187">
        <v>1</v>
      </c>
      <c r="F187">
        <v>1</v>
      </c>
      <c r="G187">
        <v>1</v>
      </c>
      <c r="H187">
        <v>3</v>
      </c>
      <c r="I187" t="s">
        <v>341</v>
      </c>
      <c r="J187" t="s">
        <v>343</v>
      </c>
      <c r="K187" t="s">
        <v>342</v>
      </c>
      <c r="L187">
        <v>1355</v>
      </c>
      <c r="N187">
        <v>1010</v>
      </c>
      <c r="O187" t="s">
        <v>326</v>
      </c>
      <c r="P187" t="s">
        <v>326</v>
      </c>
      <c r="Q187">
        <v>100</v>
      </c>
      <c r="W187">
        <v>0</v>
      </c>
      <c r="X187">
        <v>-1530028590</v>
      </c>
      <c r="Y187">
        <v>6.5115999999999993E-2</v>
      </c>
      <c r="AA187">
        <v>858.88</v>
      </c>
      <c r="AB187">
        <v>0</v>
      </c>
      <c r="AC187">
        <v>0</v>
      </c>
      <c r="AD187">
        <v>0</v>
      </c>
      <c r="AE187">
        <v>128</v>
      </c>
      <c r="AF187">
        <v>0</v>
      </c>
      <c r="AG187">
        <v>0</v>
      </c>
      <c r="AH187">
        <v>0</v>
      </c>
      <c r="AI187">
        <v>6.71</v>
      </c>
      <c r="AJ187">
        <v>1</v>
      </c>
      <c r="AK187">
        <v>1</v>
      </c>
      <c r="AL187">
        <v>1</v>
      </c>
      <c r="AN187">
        <v>0</v>
      </c>
      <c r="AO187">
        <v>0</v>
      </c>
      <c r="AP187">
        <v>0</v>
      </c>
      <c r="AQ187">
        <v>0</v>
      </c>
      <c r="AR187">
        <v>0</v>
      </c>
      <c r="AS187" t="s">
        <v>6</v>
      </c>
      <c r="AT187">
        <v>6.5115999999999993E-2</v>
      </c>
      <c r="AU187" t="s">
        <v>6</v>
      </c>
      <c r="AV187">
        <v>0</v>
      </c>
      <c r="AW187">
        <v>1</v>
      </c>
      <c r="AX187">
        <v>-1</v>
      </c>
      <c r="AY187">
        <v>0</v>
      </c>
      <c r="AZ187">
        <v>0</v>
      </c>
      <c r="BA187" t="s">
        <v>6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Y187*Source!I117</f>
        <v>6.9999699999999984E-2</v>
      </c>
      <c r="CY187">
        <f t="shared" si="29"/>
        <v>858.88</v>
      </c>
      <c r="CZ187">
        <f t="shared" si="30"/>
        <v>128</v>
      </c>
      <c r="DA187">
        <f t="shared" si="31"/>
        <v>6.71</v>
      </c>
      <c r="DB187">
        <f t="shared" si="32"/>
        <v>8.33</v>
      </c>
      <c r="DC187">
        <f t="shared" si="33"/>
        <v>0</v>
      </c>
    </row>
    <row r="188" spans="1:107" x14ac:dyDescent="0.2">
      <c r="A188">
        <f>ROW(Source!A130)</f>
        <v>130</v>
      </c>
      <c r="B188">
        <v>16808636</v>
      </c>
      <c r="C188">
        <v>16810552</v>
      </c>
      <c r="D188">
        <v>15438286</v>
      </c>
      <c r="E188">
        <v>1</v>
      </c>
      <c r="F188">
        <v>1</v>
      </c>
      <c r="G188">
        <v>1</v>
      </c>
      <c r="H188">
        <v>1</v>
      </c>
      <c r="I188" t="s">
        <v>805</v>
      </c>
      <c r="J188" t="s">
        <v>6</v>
      </c>
      <c r="K188" t="s">
        <v>806</v>
      </c>
      <c r="L188">
        <v>1191</v>
      </c>
      <c r="N188">
        <v>1013</v>
      </c>
      <c r="O188" t="s">
        <v>708</v>
      </c>
      <c r="P188" t="s">
        <v>708</v>
      </c>
      <c r="Q188">
        <v>1</v>
      </c>
      <c r="W188">
        <v>0</v>
      </c>
      <c r="X188">
        <v>-1027537862</v>
      </c>
      <c r="Y188">
        <v>220.34459999999996</v>
      </c>
      <c r="AA188">
        <v>0</v>
      </c>
      <c r="AB188">
        <v>0</v>
      </c>
      <c r="AC188">
        <v>0</v>
      </c>
      <c r="AD188">
        <v>61.6</v>
      </c>
      <c r="AE188">
        <v>0</v>
      </c>
      <c r="AF188">
        <v>0</v>
      </c>
      <c r="AG188">
        <v>0</v>
      </c>
      <c r="AH188">
        <v>9.18</v>
      </c>
      <c r="AI188">
        <v>1</v>
      </c>
      <c r="AJ188">
        <v>1</v>
      </c>
      <c r="AK188">
        <v>1</v>
      </c>
      <c r="AL188">
        <v>6.71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6</v>
      </c>
      <c r="AT188">
        <v>159.66999999999999</v>
      </c>
      <c r="AU188" t="s">
        <v>175</v>
      </c>
      <c r="AV188">
        <v>1</v>
      </c>
      <c r="AW188">
        <v>2</v>
      </c>
      <c r="AX188">
        <v>16810565</v>
      </c>
      <c r="AY188">
        <v>1</v>
      </c>
      <c r="AZ188">
        <v>0</v>
      </c>
      <c r="BA188">
        <v>177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Y188*Source!I130</f>
        <v>11.898608399999997</v>
      </c>
      <c r="CY188">
        <f>AD188</f>
        <v>61.6</v>
      </c>
      <c r="CZ188">
        <f>AH188</f>
        <v>9.18</v>
      </c>
      <c r="DA188">
        <f>AL188</f>
        <v>6.71</v>
      </c>
      <c r="DB188">
        <f>ROUND(((ROUND(AT188*CZ188,2)*1.15)*1.2),2)</f>
        <v>2022.76</v>
      </c>
      <c r="DC188">
        <f>ROUND(((ROUND(AT188*AG188,2)*1.15)*1.2),2)</f>
        <v>0</v>
      </c>
    </row>
    <row r="189" spans="1:107" x14ac:dyDescent="0.2">
      <c r="A189">
        <f>ROW(Source!A130)</f>
        <v>130</v>
      </c>
      <c r="B189">
        <v>16808636</v>
      </c>
      <c r="C189">
        <v>16810552</v>
      </c>
      <c r="D189">
        <v>15430395</v>
      </c>
      <c r="E189">
        <v>1</v>
      </c>
      <c r="F189">
        <v>1</v>
      </c>
      <c r="G189">
        <v>1</v>
      </c>
      <c r="H189">
        <v>1</v>
      </c>
      <c r="I189" t="s">
        <v>709</v>
      </c>
      <c r="J189" t="s">
        <v>6</v>
      </c>
      <c r="K189" t="s">
        <v>710</v>
      </c>
      <c r="L189">
        <v>1191</v>
      </c>
      <c r="N189">
        <v>1013</v>
      </c>
      <c r="O189" t="s">
        <v>708</v>
      </c>
      <c r="P189" t="s">
        <v>708</v>
      </c>
      <c r="Q189">
        <v>1</v>
      </c>
      <c r="W189">
        <v>0</v>
      </c>
      <c r="X189">
        <v>-1417349443</v>
      </c>
      <c r="Y189">
        <v>1.65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1</v>
      </c>
      <c r="AJ189">
        <v>1</v>
      </c>
      <c r="AK189">
        <v>6.71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6</v>
      </c>
      <c r="AT189">
        <v>1.65</v>
      </c>
      <c r="AU189" t="s">
        <v>6</v>
      </c>
      <c r="AV189">
        <v>2</v>
      </c>
      <c r="AW189">
        <v>2</v>
      </c>
      <c r="AX189">
        <v>16810566</v>
      </c>
      <c r="AY189">
        <v>1</v>
      </c>
      <c r="AZ189">
        <v>2048</v>
      </c>
      <c r="BA189">
        <v>178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Y189*Source!I130</f>
        <v>8.9099999999999999E-2</v>
      </c>
      <c r="CY189">
        <f>AD189</f>
        <v>0</v>
      </c>
      <c r="CZ189">
        <f>AH189</f>
        <v>0</v>
      </c>
      <c r="DA189">
        <f>AL189</f>
        <v>1</v>
      </c>
      <c r="DB189">
        <f>ROUND(ROUND(AT189*CZ189,2),2)</f>
        <v>0</v>
      </c>
      <c r="DC189">
        <f>ROUND(ROUND(AT189*AG189,2),2)</f>
        <v>0</v>
      </c>
    </row>
    <row r="190" spans="1:107" x14ac:dyDescent="0.2">
      <c r="A190">
        <f>ROW(Source!A130)</f>
        <v>130</v>
      </c>
      <c r="B190">
        <v>16808636</v>
      </c>
      <c r="C190">
        <v>16810552</v>
      </c>
      <c r="D190">
        <v>15247905</v>
      </c>
      <c r="E190">
        <v>1</v>
      </c>
      <c r="F190">
        <v>1</v>
      </c>
      <c r="G190">
        <v>1</v>
      </c>
      <c r="H190">
        <v>2</v>
      </c>
      <c r="I190" t="s">
        <v>870</v>
      </c>
      <c r="J190" t="s">
        <v>871</v>
      </c>
      <c r="K190" t="s">
        <v>872</v>
      </c>
      <c r="L190">
        <v>1368</v>
      </c>
      <c r="N190">
        <v>1011</v>
      </c>
      <c r="O190" t="s">
        <v>714</v>
      </c>
      <c r="P190" t="s">
        <v>714</v>
      </c>
      <c r="Q190">
        <v>1</v>
      </c>
      <c r="W190">
        <v>0</v>
      </c>
      <c r="X190">
        <v>-665367104</v>
      </c>
      <c r="Y190">
        <v>0.12</v>
      </c>
      <c r="AA190">
        <v>0</v>
      </c>
      <c r="AB190">
        <v>603.83000000000004</v>
      </c>
      <c r="AC190">
        <v>10.06</v>
      </c>
      <c r="AD190">
        <v>0</v>
      </c>
      <c r="AE190">
        <v>0</v>
      </c>
      <c r="AF190">
        <v>89.99</v>
      </c>
      <c r="AG190">
        <v>10.06</v>
      </c>
      <c r="AH190">
        <v>0</v>
      </c>
      <c r="AI190">
        <v>1</v>
      </c>
      <c r="AJ190">
        <v>6.71</v>
      </c>
      <c r="AK190">
        <v>1</v>
      </c>
      <c r="AL190">
        <v>1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6</v>
      </c>
      <c r="AT190">
        <v>0.08</v>
      </c>
      <c r="AU190" t="s">
        <v>174</v>
      </c>
      <c r="AV190">
        <v>0</v>
      </c>
      <c r="AW190">
        <v>2</v>
      </c>
      <c r="AX190">
        <v>16810567</v>
      </c>
      <c r="AY190">
        <v>1</v>
      </c>
      <c r="AZ190">
        <v>0</v>
      </c>
      <c r="BA190">
        <v>179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Y190*Source!I130</f>
        <v>6.4799999999999996E-3</v>
      </c>
      <c r="CY190">
        <f>AB190</f>
        <v>603.83000000000004</v>
      </c>
      <c r="CZ190">
        <f>AF190</f>
        <v>89.99</v>
      </c>
      <c r="DA190">
        <f>AJ190</f>
        <v>6.71</v>
      </c>
      <c r="DB190">
        <f>ROUND(((ROUND(AT190*CZ190,2)*1.25)*1.2),2)</f>
        <v>10.8</v>
      </c>
      <c r="DC190">
        <f>ROUND(((ROUND(AT190*AG190,2)*1.25)*1.2),2)</f>
        <v>1.2</v>
      </c>
    </row>
    <row r="191" spans="1:107" x14ac:dyDescent="0.2">
      <c r="A191">
        <f>ROW(Source!A130)</f>
        <v>130</v>
      </c>
      <c r="B191">
        <v>16808636</v>
      </c>
      <c r="C191">
        <v>16810552</v>
      </c>
      <c r="D191">
        <v>15247974</v>
      </c>
      <c r="E191">
        <v>1</v>
      </c>
      <c r="F191">
        <v>1</v>
      </c>
      <c r="G191">
        <v>1</v>
      </c>
      <c r="H191">
        <v>2</v>
      </c>
      <c r="I191" t="s">
        <v>711</v>
      </c>
      <c r="J191" t="s">
        <v>712</v>
      </c>
      <c r="K191" t="s">
        <v>713</v>
      </c>
      <c r="L191">
        <v>1368</v>
      </c>
      <c r="N191">
        <v>1011</v>
      </c>
      <c r="O191" t="s">
        <v>714</v>
      </c>
      <c r="P191" t="s">
        <v>714</v>
      </c>
      <c r="Q191">
        <v>1</v>
      </c>
      <c r="W191">
        <v>0</v>
      </c>
      <c r="X191">
        <v>1188625873</v>
      </c>
      <c r="Y191">
        <v>0.40500000000000003</v>
      </c>
      <c r="AA191">
        <v>0</v>
      </c>
      <c r="AB191">
        <v>209.75</v>
      </c>
      <c r="AC191">
        <v>13.5</v>
      </c>
      <c r="AD191">
        <v>0</v>
      </c>
      <c r="AE191">
        <v>0</v>
      </c>
      <c r="AF191">
        <v>31.26</v>
      </c>
      <c r="AG191">
        <v>13.5</v>
      </c>
      <c r="AH191">
        <v>0</v>
      </c>
      <c r="AI191">
        <v>1</v>
      </c>
      <c r="AJ191">
        <v>6.71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6</v>
      </c>
      <c r="AT191">
        <v>0.27</v>
      </c>
      <c r="AU191" t="s">
        <v>174</v>
      </c>
      <c r="AV191">
        <v>0</v>
      </c>
      <c r="AW191">
        <v>2</v>
      </c>
      <c r="AX191">
        <v>16810568</v>
      </c>
      <c r="AY191">
        <v>1</v>
      </c>
      <c r="AZ191">
        <v>0</v>
      </c>
      <c r="BA191">
        <v>180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Y191*Source!I130</f>
        <v>2.1870000000000001E-2</v>
      </c>
      <c r="CY191">
        <f>AB191</f>
        <v>209.75</v>
      </c>
      <c r="CZ191">
        <f>AF191</f>
        <v>31.26</v>
      </c>
      <c r="DA191">
        <f>AJ191</f>
        <v>6.71</v>
      </c>
      <c r="DB191">
        <f>ROUND(((ROUND(AT191*CZ191,2)*1.25)*1.2),2)</f>
        <v>12.66</v>
      </c>
      <c r="DC191">
        <f>ROUND(((ROUND(AT191*AG191,2)*1.25)*1.2),2)</f>
        <v>5.48</v>
      </c>
    </row>
    <row r="192" spans="1:107" x14ac:dyDescent="0.2">
      <c r="A192">
        <f>ROW(Source!A130)</f>
        <v>130</v>
      </c>
      <c r="B192">
        <v>16808636</v>
      </c>
      <c r="C192">
        <v>16810552</v>
      </c>
      <c r="D192">
        <v>15248143</v>
      </c>
      <c r="E192">
        <v>1</v>
      </c>
      <c r="F192">
        <v>1</v>
      </c>
      <c r="G192">
        <v>1</v>
      </c>
      <c r="H192">
        <v>2</v>
      </c>
      <c r="I192" t="s">
        <v>873</v>
      </c>
      <c r="J192" t="s">
        <v>874</v>
      </c>
      <c r="K192" t="s">
        <v>875</v>
      </c>
      <c r="L192">
        <v>1368</v>
      </c>
      <c r="N192">
        <v>1011</v>
      </c>
      <c r="O192" t="s">
        <v>714</v>
      </c>
      <c r="P192" t="s">
        <v>714</v>
      </c>
      <c r="Q192">
        <v>1</v>
      </c>
      <c r="W192">
        <v>0</v>
      </c>
      <c r="X192">
        <v>983187852</v>
      </c>
      <c r="Y192">
        <v>1.95</v>
      </c>
      <c r="AA192">
        <v>0</v>
      </c>
      <c r="AB192">
        <v>83.14</v>
      </c>
      <c r="AC192">
        <v>10.06</v>
      </c>
      <c r="AD192">
        <v>0</v>
      </c>
      <c r="AE192">
        <v>0</v>
      </c>
      <c r="AF192">
        <v>12.39</v>
      </c>
      <c r="AG192">
        <v>10.06</v>
      </c>
      <c r="AH192">
        <v>0</v>
      </c>
      <c r="AI192">
        <v>1</v>
      </c>
      <c r="AJ192">
        <v>6.71</v>
      </c>
      <c r="AK192">
        <v>1</v>
      </c>
      <c r="AL192">
        <v>1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6</v>
      </c>
      <c r="AT192">
        <v>1.3</v>
      </c>
      <c r="AU192" t="s">
        <v>174</v>
      </c>
      <c r="AV192">
        <v>0</v>
      </c>
      <c r="AW192">
        <v>2</v>
      </c>
      <c r="AX192">
        <v>16810569</v>
      </c>
      <c r="AY192">
        <v>1</v>
      </c>
      <c r="AZ192">
        <v>0</v>
      </c>
      <c r="BA192">
        <v>181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Y192*Source!I130</f>
        <v>0.10529999999999999</v>
      </c>
      <c r="CY192">
        <f>AB192</f>
        <v>83.14</v>
      </c>
      <c r="CZ192">
        <f>AF192</f>
        <v>12.39</v>
      </c>
      <c r="DA192">
        <f>AJ192</f>
        <v>6.71</v>
      </c>
      <c r="DB192">
        <f>ROUND(((ROUND(AT192*CZ192,2)*1.25)*1.2),2)</f>
        <v>24.17</v>
      </c>
      <c r="DC192">
        <f>ROUND(((ROUND(AT192*AG192,2)*1.25)*1.2),2)</f>
        <v>19.62</v>
      </c>
    </row>
    <row r="193" spans="1:107" x14ac:dyDescent="0.2">
      <c r="A193">
        <f>ROW(Source!A130)</f>
        <v>130</v>
      </c>
      <c r="B193">
        <v>16808636</v>
      </c>
      <c r="C193">
        <v>16810552</v>
      </c>
      <c r="D193">
        <v>15167286</v>
      </c>
      <c r="E193">
        <v>1</v>
      </c>
      <c r="F193">
        <v>1</v>
      </c>
      <c r="G193">
        <v>1</v>
      </c>
      <c r="H193">
        <v>3</v>
      </c>
      <c r="I193" t="s">
        <v>781</v>
      </c>
      <c r="J193" t="s">
        <v>782</v>
      </c>
      <c r="K193" t="s">
        <v>783</v>
      </c>
      <c r="L193">
        <v>1339</v>
      </c>
      <c r="N193">
        <v>1007</v>
      </c>
      <c r="O193" t="s">
        <v>254</v>
      </c>
      <c r="P193" t="s">
        <v>254</v>
      </c>
      <c r="Q193">
        <v>1</v>
      </c>
      <c r="W193">
        <v>0</v>
      </c>
      <c r="X193">
        <v>-1660354250</v>
      </c>
      <c r="Y193">
        <v>0.93</v>
      </c>
      <c r="AA193">
        <v>16.37</v>
      </c>
      <c r="AB193">
        <v>0</v>
      </c>
      <c r="AC193">
        <v>0</v>
      </c>
      <c r="AD193">
        <v>0</v>
      </c>
      <c r="AE193">
        <v>2.44</v>
      </c>
      <c r="AF193">
        <v>0</v>
      </c>
      <c r="AG193">
        <v>0</v>
      </c>
      <c r="AH193">
        <v>0</v>
      </c>
      <c r="AI193">
        <v>6.71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6</v>
      </c>
      <c r="AT193">
        <v>0.93</v>
      </c>
      <c r="AU193" t="s">
        <v>6</v>
      </c>
      <c r="AV193">
        <v>0</v>
      </c>
      <c r="AW193">
        <v>2</v>
      </c>
      <c r="AX193">
        <v>16810570</v>
      </c>
      <c r="AY193">
        <v>1</v>
      </c>
      <c r="AZ193">
        <v>0</v>
      </c>
      <c r="BA193">
        <v>182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Y193*Source!I130</f>
        <v>5.0220000000000001E-2</v>
      </c>
      <c r="CY193">
        <f t="shared" ref="CY193:CY199" si="34">AA193</f>
        <v>16.37</v>
      </c>
      <c r="CZ193">
        <f t="shared" ref="CZ193:CZ199" si="35">AE193</f>
        <v>2.44</v>
      </c>
      <c r="DA193">
        <f t="shared" ref="DA193:DA199" si="36">AI193</f>
        <v>6.71</v>
      </c>
      <c r="DB193">
        <f t="shared" ref="DB193:DB199" si="37">ROUND(ROUND(AT193*CZ193,2),2)</f>
        <v>2.27</v>
      </c>
      <c r="DC193">
        <f t="shared" ref="DC193:DC199" si="38">ROUND(ROUND(AT193*AG193,2),2)</f>
        <v>0</v>
      </c>
    </row>
    <row r="194" spans="1:107" x14ac:dyDescent="0.2">
      <c r="A194">
        <f>ROW(Source!A130)</f>
        <v>130</v>
      </c>
      <c r="B194">
        <v>16808636</v>
      </c>
      <c r="C194">
        <v>16810552</v>
      </c>
      <c r="D194">
        <v>15171018</v>
      </c>
      <c r="E194">
        <v>1</v>
      </c>
      <c r="F194">
        <v>1</v>
      </c>
      <c r="G194">
        <v>1</v>
      </c>
      <c r="H194">
        <v>3</v>
      </c>
      <c r="I194" t="s">
        <v>833</v>
      </c>
      <c r="J194" t="s">
        <v>834</v>
      </c>
      <c r="K194" t="s">
        <v>835</v>
      </c>
      <c r="L194">
        <v>1346</v>
      </c>
      <c r="N194">
        <v>1009</v>
      </c>
      <c r="O194" t="s">
        <v>300</v>
      </c>
      <c r="P194" t="s">
        <v>300</v>
      </c>
      <c r="Q194">
        <v>1</v>
      </c>
      <c r="W194">
        <v>0</v>
      </c>
      <c r="X194">
        <v>813963326</v>
      </c>
      <c r="Y194">
        <v>0.5</v>
      </c>
      <c r="AA194">
        <v>12.21</v>
      </c>
      <c r="AB194">
        <v>0</v>
      </c>
      <c r="AC194">
        <v>0</v>
      </c>
      <c r="AD194">
        <v>0</v>
      </c>
      <c r="AE194">
        <v>1.82</v>
      </c>
      <c r="AF194">
        <v>0</v>
      </c>
      <c r="AG194">
        <v>0</v>
      </c>
      <c r="AH194">
        <v>0</v>
      </c>
      <c r="AI194">
        <v>6.71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6</v>
      </c>
      <c r="AT194">
        <v>0.5</v>
      </c>
      <c r="AU194" t="s">
        <v>6</v>
      </c>
      <c r="AV194">
        <v>0</v>
      </c>
      <c r="AW194">
        <v>2</v>
      </c>
      <c r="AX194">
        <v>16810571</v>
      </c>
      <c r="AY194">
        <v>1</v>
      </c>
      <c r="AZ194">
        <v>0</v>
      </c>
      <c r="BA194">
        <v>183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Y194*Source!I130</f>
        <v>2.7E-2</v>
      </c>
      <c r="CY194">
        <f t="shared" si="34"/>
        <v>12.21</v>
      </c>
      <c r="CZ194">
        <f t="shared" si="35"/>
        <v>1.82</v>
      </c>
      <c r="DA194">
        <f t="shared" si="36"/>
        <v>6.71</v>
      </c>
      <c r="DB194">
        <f t="shared" si="37"/>
        <v>0.91</v>
      </c>
      <c r="DC194">
        <f t="shared" si="38"/>
        <v>0</v>
      </c>
    </row>
    <row r="195" spans="1:107" x14ac:dyDescent="0.2">
      <c r="A195">
        <f>ROW(Source!A130)</f>
        <v>130</v>
      </c>
      <c r="B195">
        <v>16808636</v>
      </c>
      <c r="C195">
        <v>16810552</v>
      </c>
      <c r="D195">
        <v>15162949</v>
      </c>
      <c r="E195">
        <v>17</v>
      </c>
      <c r="F195">
        <v>1</v>
      </c>
      <c r="G195">
        <v>1</v>
      </c>
      <c r="H195">
        <v>3</v>
      </c>
      <c r="I195" t="s">
        <v>364</v>
      </c>
      <c r="J195" t="s">
        <v>6</v>
      </c>
      <c r="K195" t="s">
        <v>365</v>
      </c>
      <c r="L195">
        <v>1348</v>
      </c>
      <c r="N195">
        <v>1009</v>
      </c>
      <c r="O195" t="s">
        <v>104</v>
      </c>
      <c r="P195" t="s">
        <v>104</v>
      </c>
      <c r="Q195">
        <v>1000</v>
      </c>
      <c r="W195">
        <v>0</v>
      </c>
      <c r="X195">
        <v>1531120620</v>
      </c>
      <c r="Y195">
        <v>0.05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6.71</v>
      </c>
      <c r="AJ195">
        <v>1</v>
      </c>
      <c r="AK195">
        <v>1</v>
      </c>
      <c r="AL195">
        <v>1</v>
      </c>
      <c r="AN195">
        <v>0</v>
      </c>
      <c r="AO195">
        <v>0</v>
      </c>
      <c r="AP195">
        <v>0</v>
      </c>
      <c r="AQ195">
        <v>0</v>
      </c>
      <c r="AR195">
        <v>0</v>
      </c>
      <c r="AS195" t="s">
        <v>6</v>
      </c>
      <c r="AT195">
        <v>0.05</v>
      </c>
      <c r="AU195" t="s">
        <v>6</v>
      </c>
      <c r="AV195">
        <v>0</v>
      </c>
      <c r="AW195">
        <v>2</v>
      </c>
      <c r="AX195">
        <v>16810572</v>
      </c>
      <c r="AY195">
        <v>1</v>
      </c>
      <c r="AZ195">
        <v>0</v>
      </c>
      <c r="BA195">
        <v>184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Y195*Source!I130</f>
        <v>2.7000000000000001E-3</v>
      </c>
      <c r="CY195">
        <f t="shared" si="34"/>
        <v>0</v>
      </c>
      <c r="CZ195">
        <f t="shared" si="35"/>
        <v>0</v>
      </c>
      <c r="DA195">
        <f t="shared" si="36"/>
        <v>6.71</v>
      </c>
      <c r="DB195">
        <f t="shared" si="37"/>
        <v>0</v>
      </c>
      <c r="DC195">
        <f t="shared" si="38"/>
        <v>0</v>
      </c>
    </row>
    <row r="196" spans="1:107" x14ac:dyDescent="0.2">
      <c r="A196">
        <f>ROW(Source!A130)</f>
        <v>130</v>
      </c>
      <c r="B196">
        <v>16808636</v>
      </c>
      <c r="C196">
        <v>16810552</v>
      </c>
      <c r="D196">
        <v>15186989</v>
      </c>
      <c r="E196">
        <v>1</v>
      </c>
      <c r="F196">
        <v>1</v>
      </c>
      <c r="G196">
        <v>1</v>
      </c>
      <c r="H196">
        <v>3</v>
      </c>
      <c r="I196" t="s">
        <v>370</v>
      </c>
      <c r="J196" t="s">
        <v>372</v>
      </c>
      <c r="K196" t="s">
        <v>371</v>
      </c>
      <c r="L196">
        <v>1327</v>
      </c>
      <c r="N196">
        <v>1005</v>
      </c>
      <c r="O196" t="s">
        <v>190</v>
      </c>
      <c r="P196" t="s">
        <v>190</v>
      </c>
      <c r="Q196">
        <v>1</v>
      </c>
      <c r="W196">
        <v>0</v>
      </c>
      <c r="X196">
        <v>-221992413</v>
      </c>
      <c r="Y196">
        <v>100</v>
      </c>
      <c r="AA196">
        <v>916.72</v>
      </c>
      <c r="AB196">
        <v>0</v>
      </c>
      <c r="AC196">
        <v>0</v>
      </c>
      <c r="AD196">
        <v>0</v>
      </c>
      <c r="AE196">
        <v>136.62</v>
      </c>
      <c r="AF196">
        <v>0</v>
      </c>
      <c r="AG196">
        <v>0</v>
      </c>
      <c r="AH196">
        <v>0</v>
      </c>
      <c r="AI196">
        <v>6.71</v>
      </c>
      <c r="AJ196">
        <v>1</v>
      </c>
      <c r="AK196">
        <v>1</v>
      </c>
      <c r="AL196">
        <v>1</v>
      </c>
      <c r="AN196">
        <v>0</v>
      </c>
      <c r="AO196">
        <v>0</v>
      </c>
      <c r="AP196">
        <v>0</v>
      </c>
      <c r="AQ196">
        <v>0</v>
      </c>
      <c r="AR196">
        <v>0</v>
      </c>
      <c r="AS196" t="s">
        <v>6</v>
      </c>
      <c r="AT196">
        <v>100</v>
      </c>
      <c r="AU196" t="s">
        <v>6</v>
      </c>
      <c r="AV196">
        <v>0</v>
      </c>
      <c r="AW196">
        <v>1</v>
      </c>
      <c r="AX196">
        <v>-1</v>
      </c>
      <c r="AY196">
        <v>0</v>
      </c>
      <c r="AZ196">
        <v>0</v>
      </c>
      <c r="BA196" t="s">
        <v>6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Y196*Source!I130</f>
        <v>5.4</v>
      </c>
      <c r="CY196">
        <f t="shared" si="34"/>
        <v>916.72</v>
      </c>
      <c r="CZ196">
        <f t="shared" si="35"/>
        <v>136.62</v>
      </c>
      <c r="DA196">
        <f t="shared" si="36"/>
        <v>6.71</v>
      </c>
      <c r="DB196">
        <f t="shared" si="37"/>
        <v>13662</v>
      </c>
      <c r="DC196">
        <f t="shared" si="38"/>
        <v>0</v>
      </c>
    </row>
    <row r="197" spans="1:107" x14ac:dyDescent="0.2">
      <c r="A197">
        <f>ROW(Source!A130)</f>
        <v>130</v>
      </c>
      <c r="B197">
        <v>16808636</v>
      </c>
      <c r="C197">
        <v>16810552</v>
      </c>
      <c r="D197">
        <v>15162946</v>
      </c>
      <c r="E197">
        <v>17</v>
      </c>
      <c r="F197">
        <v>1</v>
      </c>
      <c r="G197">
        <v>1</v>
      </c>
      <c r="H197">
        <v>3</v>
      </c>
      <c r="I197" t="s">
        <v>367</v>
      </c>
      <c r="J197" t="s">
        <v>6</v>
      </c>
      <c r="K197" t="s">
        <v>368</v>
      </c>
      <c r="L197">
        <v>1327</v>
      </c>
      <c r="N197">
        <v>1005</v>
      </c>
      <c r="O197" t="s">
        <v>190</v>
      </c>
      <c r="P197" t="s">
        <v>190</v>
      </c>
      <c r="Q197">
        <v>1</v>
      </c>
      <c r="W197">
        <v>0</v>
      </c>
      <c r="X197">
        <v>1109111119</v>
      </c>
      <c r="Y197">
        <v>100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6.71</v>
      </c>
      <c r="AJ197">
        <v>1</v>
      </c>
      <c r="AK197">
        <v>1</v>
      </c>
      <c r="AL197">
        <v>1</v>
      </c>
      <c r="AN197">
        <v>0</v>
      </c>
      <c r="AO197">
        <v>0</v>
      </c>
      <c r="AP197">
        <v>0</v>
      </c>
      <c r="AQ197">
        <v>0</v>
      </c>
      <c r="AR197">
        <v>0</v>
      </c>
      <c r="AS197" t="s">
        <v>6</v>
      </c>
      <c r="AT197">
        <v>100</v>
      </c>
      <c r="AU197" t="s">
        <v>6</v>
      </c>
      <c r="AV197">
        <v>0</v>
      </c>
      <c r="AW197">
        <v>2</v>
      </c>
      <c r="AX197">
        <v>16810573</v>
      </c>
      <c r="AY197">
        <v>1</v>
      </c>
      <c r="AZ197">
        <v>0</v>
      </c>
      <c r="BA197">
        <v>185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Y197*Source!I130</f>
        <v>5.4</v>
      </c>
      <c r="CY197">
        <f t="shared" si="34"/>
        <v>0</v>
      </c>
      <c r="CZ197">
        <f t="shared" si="35"/>
        <v>0</v>
      </c>
      <c r="DA197">
        <f t="shared" si="36"/>
        <v>6.71</v>
      </c>
      <c r="DB197">
        <f t="shared" si="37"/>
        <v>0</v>
      </c>
      <c r="DC197">
        <f t="shared" si="38"/>
        <v>0</v>
      </c>
    </row>
    <row r="198" spans="1:107" x14ac:dyDescent="0.2">
      <c r="A198">
        <f>ROW(Source!A130)</f>
        <v>130</v>
      </c>
      <c r="B198">
        <v>16808636</v>
      </c>
      <c r="C198">
        <v>16810552</v>
      </c>
      <c r="D198">
        <v>15162952</v>
      </c>
      <c r="E198">
        <v>17</v>
      </c>
      <c r="F198">
        <v>1</v>
      </c>
      <c r="G198">
        <v>1</v>
      </c>
      <c r="H198">
        <v>3</v>
      </c>
      <c r="I198" t="s">
        <v>374</v>
      </c>
      <c r="J198" t="s">
        <v>6</v>
      </c>
      <c r="K198" t="s">
        <v>375</v>
      </c>
      <c r="L198">
        <v>1348</v>
      </c>
      <c r="N198">
        <v>1009</v>
      </c>
      <c r="O198" t="s">
        <v>104</v>
      </c>
      <c r="P198" t="s">
        <v>104</v>
      </c>
      <c r="Q198">
        <v>1000</v>
      </c>
      <c r="W198">
        <v>0</v>
      </c>
      <c r="X198">
        <v>-1969728098</v>
      </c>
      <c r="Y198">
        <v>0.375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6.71</v>
      </c>
      <c r="AJ198">
        <v>1</v>
      </c>
      <c r="AK198">
        <v>1</v>
      </c>
      <c r="AL198">
        <v>1</v>
      </c>
      <c r="AN198">
        <v>0</v>
      </c>
      <c r="AO198">
        <v>0</v>
      </c>
      <c r="AP198">
        <v>0</v>
      </c>
      <c r="AQ198">
        <v>0</v>
      </c>
      <c r="AR198">
        <v>0</v>
      </c>
      <c r="AS198" t="s">
        <v>6</v>
      </c>
      <c r="AT198">
        <v>0.375</v>
      </c>
      <c r="AU198" t="s">
        <v>6</v>
      </c>
      <c r="AV198">
        <v>0</v>
      </c>
      <c r="AW198">
        <v>2</v>
      </c>
      <c r="AX198">
        <v>16810574</v>
      </c>
      <c r="AY198">
        <v>1</v>
      </c>
      <c r="AZ198">
        <v>0</v>
      </c>
      <c r="BA198">
        <v>186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Y198*Source!I130</f>
        <v>2.0250000000000001E-2</v>
      </c>
      <c r="CY198">
        <f t="shared" si="34"/>
        <v>0</v>
      </c>
      <c r="CZ198">
        <f t="shared" si="35"/>
        <v>0</v>
      </c>
      <c r="DA198">
        <f t="shared" si="36"/>
        <v>6.71</v>
      </c>
      <c r="DB198">
        <f t="shared" si="37"/>
        <v>0</v>
      </c>
      <c r="DC198">
        <f t="shared" si="38"/>
        <v>0</v>
      </c>
    </row>
    <row r="199" spans="1:107" x14ac:dyDescent="0.2">
      <c r="A199">
        <f>ROW(Source!A130)</f>
        <v>130</v>
      </c>
      <c r="B199">
        <v>16808636</v>
      </c>
      <c r="C199">
        <v>16810552</v>
      </c>
      <c r="D199">
        <v>15202561</v>
      </c>
      <c r="E199">
        <v>1</v>
      </c>
      <c r="F199">
        <v>1</v>
      </c>
      <c r="G199">
        <v>1</v>
      </c>
      <c r="H199">
        <v>3</v>
      </c>
      <c r="I199" t="s">
        <v>294</v>
      </c>
      <c r="J199" t="s">
        <v>296</v>
      </c>
      <c r="K199" t="s">
        <v>295</v>
      </c>
      <c r="L199">
        <v>1348</v>
      </c>
      <c r="N199">
        <v>1009</v>
      </c>
      <c r="O199" t="s">
        <v>104</v>
      </c>
      <c r="P199" t="s">
        <v>104</v>
      </c>
      <c r="Q199">
        <v>1000</v>
      </c>
      <c r="W199">
        <v>0</v>
      </c>
      <c r="X199">
        <v>1446672103</v>
      </c>
      <c r="Y199">
        <v>0.375</v>
      </c>
      <c r="AA199">
        <v>49255.22</v>
      </c>
      <c r="AB199">
        <v>0</v>
      </c>
      <c r="AC199">
        <v>0</v>
      </c>
      <c r="AD199">
        <v>0</v>
      </c>
      <c r="AE199">
        <v>7340.57</v>
      </c>
      <c r="AF199">
        <v>0</v>
      </c>
      <c r="AG199">
        <v>0</v>
      </c>
      <c r="AH199">
        <v>0</v>
      </c>
      <c r="AI199">
        <v>6.71</v>
      </c>
      <c r="AJ199">
        <v>1</v>
      </c>
      <c r="AK199">
        <v>1</v>
      </c>
      <c r="AL199">
        <v>1</v>
      </c>
      <c r="AN199">
        <v>0</v>
      </c>
      <c r="AO199">
        <v>0</v>
      </c>
      <c r="AP199">
        <v>0</v>
      </c>
      <c r="AQ199">
        <v>0</v>
      </c>
      <c r="AR199">
        <v>0</v>
      </c>
      <c r="AS199" t="s">
        <v>6</v>
      </c>
      <c r="AT199">
        <v>0.375</v>
      </c>
      <c r="AU199" t="s">
        <v>6</v>
      </c>
      <c r="AV199">
        <v>0</v>
      </c>
      <c r="AW199">
        <v>1</v>
      </c>
      <c r="AX199">
        <v>-1</v>
      </c>
      <c r="AY199">
        <v>0</v>
      </c>
      <c r="AZ199">
        <v>0</v>
      </c>
      <c r="BA199" t="s">
        <v>6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Y199*Source!I130</f>
        <v>2.0250000000000001E-2</v>
      </c>
      <c r="CY199">
        <f t="shared" si="34"/>
        <v>49255.22</v>
      </c>
      <c r="CZ199">
        <f t="shared" si="35"/>
        <v>7340.57</v>
      </c>
      <c r="DA199">
        <f t="shared" si="36"/>
        <v>6.71</v>
      </c>
      <c r="DB199">
        <f t="shared" si="37"/>
        <v>2752.71</v>
      </c>
      <c r="DC199">
        <f t="shared" si="38"/>
        <v>0</v>
      </c>
    </row>
    <row r="200" spans="1:107" x14ac:dyDescent="0.2">
      <c r="A200">
        <f>ROW(Source!A136)</f>
        <v>136</v>
      </c>
      <c r="B200">
        <v>16808636</v>
      </c>
      <c r="C200">
        <v>16810580</v>
      </c>
      <c r="D200">
        <v>15430447</v>
      </c>
      <c r="E200">
        <v>1</v>
      </c>
      <c r="F200">
        <v>1</v>
      </c>
      <c r="G200">
        <v>1</v>
      </c>
      <c r="H200">
        <v>1</v>
      </c>
      <c r="I200" t="s">
        <v>765</v>
      </c>
      <c r="J200" t="s">
        <v>6</v>
      </c>
      <c r="K200" t="s">
        <v>766</v>
      </c>
      <c r="L200">
        <v>1191</v>
      </c>
      <c r="N200">
        <v>1013</v>
      </c>
      <c r="O200" t="s">
        <v>708</v>
      </c>
      <c r="P200" t="s">
        <v>708</v>
      </c>
      <c r="Q200">
        <v>1</v>
      </c>
      <c r="W200">
        <v>0</v>
      </c>
      <c r="X200">
        <v>145020957</v>
      </c>
      <c r="Y200">
        <v>182.15999999999997</v>
      </c>
      <c r="AA200">
        <v>0</v>
      </c>
      <c r="AB200">
        <v>0</v>
      </c>
      <c r="AC200">
        <v>0</v>
      </c>
      <c r="AD200">
        <v>60.86</v>
      </c>
      <c r="AE200">
        <v>0</v>
      </c>
      <c r="AF200">
        <v>0</v>
      </c>
      <c r="AG200">
        <v>0</v>
      </c>
      <c r="AH200">
        <v>9.07</v>
      </c>
      <c r="AI200">
        <v>1</v>
      </c>
      <c r="AJ200">
        <v>1</v>
      </c>
      <c r="AK200">
        <v>1</v>
      </c>
      <c r="AL200">
        <v>6.71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6</v>
      </c>
      <c r="AT200">
        <v>132</v>
      </c>
      <c r="AU200" t="s">
        <v>175</v>
      </c>
      <c r="AV200">
        <v>1</v>
      </c>
      <c r="AW200">
        <v>2</v>
      </c>
      <c r="AX200">
        <v>16810600</v>
      </c>
      <c r="AY200">
        <v>1</v>
      </c>
      <c r="AZ200">
        <v>0</v>
      </c>
      <c r="BA200">
        <v>187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Y200*Source!I136</f>
        <v>10.929599999999997</v>
      </c>
      <c r="CY200">
        <f>AD200</f>
        <v>60.86</v>
      </c>
      <c r="CZ200">
        <f>AH200</f>
        <v>9.07</v>
      </c>
      <c r="DA200">
        <f>AL200</f>
        <v>6.71</v>
      </c>
      <c r="DB200">
        <f>ROUND(((ROUND(AT200*CZ200,2)*1.15)*1.2),2)</f>
        <v>1652.19</v>
      </c>
      <c r="DC200">
        <f>ROUND(((ROUND(AT200*AG200,2)*1.15)*1.2),2)</f>
        <v>0</v>
      </c>
    </row>
    <row r="201" spans="1:107" x14ac:dyDescent="0.2">
      <c r="A201">
        <f>ROW(Source!A136)</f>
        <v>136</v>
      </c>
      <c r="B201">
        <v>16808636</v>
      </c>
      <c r="C201">
        <v>16810580</v>
      </c>
      <c r="D201">
        <v>15250017</v>
      </c>
      <c r="E201">
        <v>1</v>
      </c>
      <c r="F201">
        <v>1</v>
      </c>
      <c r="G201">
        <v>1</v>
      </c>
      <c r="H201">
        <v>2</v>
      </c>
      <c r="I201" t="s">
        <v>885</v>
      </c>
      <c r="J201" t="s">
        <v>886</v>
      </c>
      <c r="K201" t="s">
        <v>887</v>
      </c>
      <c r="L201">
        <v>1368</v>
      </c>
      <c r="N201">
        <v>1011</v>
      </c>
      <c r="O201" t="s">
        <v>714</v>
      </c>
      <c r="P201" t="s">
        <v>714</v>
      </c>
      <c r="Q201">
        <v>1</v>
      </c>
      <c r="W201">
        <v>0</v>
      </c>
      <c r="X201">
        <v>612354663</v>
      </c>
      <c r="Y201">
        <v>0.15</v>
      </c>
      <c r="AA201">
        <v>0</v>
      </c>
      <c r="AB201">
        <v>225.39</v>
      </c>
      <c r="AC201">
        <v>0</v>
      </c>
      <c r="AD201">
        <v>0</v>
      </c>
      <c r="AE201">
        <v>0</v>
      </c>
      <c r="AF201">
        <v>33.590000000000003</v>
      </c>
      <c r="AG201">
        <v>0</v>
      </c>
      <c r="AH201">
        <v>0</v>
      </c>
      <c r="AI201">
        <v>1</v>
      </c>
      <c r="AJ201">
        <v>6.71</v>
      </c>
      <c r="AK201">
        <v>1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6</v>
      </c>
      <c r="AT201">
        <v>0.1</v>
      </c>
      <c r="AU201" t="s">
        <v>174</v>
      </c>
      <c r="AV201">
        <v>0</v>
      </c>
      <c r="AW201">
        <v>2</v>
      </c>
      <c r="AX201">
        <v>16810601</v>
      </c>
      <c r="AY201">
        <v>1</v>
      </c>
      <c r="AZ201">
        <v>0</v>
      </c>
      <c r="BA201">
        <v>188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Y201*Source!I136</f>
        <v>8.9999999999999993E-3</v>
      </c>
      <c r="CY201">
        <f>AB201</f>
        <v>225.39</v>
      </c>
      <c r="CZ201">
        <f>AF201</f>
        <v>33.590000000000003</v>
      </c>
      <c r="DA201">
        <f>AJ201</f>
        <v>6.71</v>
      </c>
      <c r="DB201">
        <f>ROUND(((ROUND(AT201*CZ201,2)*1.25)*1.2),2)</f>
        <v>5.04</v>
      </c>
      <c r="DC201">
        <f>ROUND(((ROUND(AT201*AG201,2)*1.25)*1.2),2)</f>
        <v>0</v>
      </c>
    </row>
    <row r="202" spans="1:107" x14ac:dyDescent="0.2">
      <c r="A202">
        <f>ROW(Source!A136)</f>
        <v>136</v>
      </c>
      <c r="B202">
        <v>16808636</v>
      </c>
      <c r="C202">
        <v>16810580</v>
      </c>
      <c r="D202">
        <v>15162588</v>
      </c>
      <c r="E202">
        <v>17</v>
      </c>
      <c r="F202">
        <v>1</v>
      </c>
      <c r="G202">
        <v>1</v>
      </c>
      <c r="H202">
        <v>3</v>
      </c>
      <c r="I202" t="s">
        <v>382</v>
      </c>
      <c r="J202" t="s">
        <v>6</v>
      </c>
      <c r="K202" t="s">
        <v>383</v>
      </c>
      <c r="L202">
        <v>1327</v>
      </c>
      <c r="N202">
        <v>1005</v>
      </c>
      <c r="O202" t="s">
        <v>190</v>
      </c>
      <c r="P202" t="s">
        <v>190</v>
      </c>
      <c r="Q202">
        <v>1</v>
      </c>
      <c r="W202">
        <v>0</v>
      </c>
      <c r="X202">
        <v>-354280000</v>
      </c>
      <c r="Y202">
        <v>421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6.71</v>
      </c>
      <c r="AJ202">
        <v>1</v>
      </c>
      <c r="AK202">
        <v>1</v>
      </c>
      <c r="AL202">
        <v>1</v>
      </c>
      <c r="AN202">
        <v>0</v>
      </c>
      <c r="AO202">
        <v>0</v>
      </c>
      <c r="AP202">
        <v>0</v>
      </c>
      <c r="AQ202">
        <v>0</v>
      </c>
      <c r="AR202">
        <v>0</v>
      </c>
      <c r="AS202" t="s">
        <v>6</v>
      </c>
      <c r="AT202">
        <v>421</v>
      </c>
      <c r="AU202" t="s">
        <v>6</v>
      </c>
      <c r="AV202">
        <v>0</v>
      </c>
      <c r="AW202">
        <v>2</v>
      </c>
      <c r="AX202">
        <v>16810602</v>
      </c>
      <c r="AY202">
        <v>1</v>
      </c>
      <c r="AZ202">
        <v>0</v>
      </c>
      <c r="BA202">
        <v>189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Y202*Source!I136</f>
        <v>25.259999999999998</v>
      </c>
      <c r="CY202">
        <f t="shared" ref="CY202:CY218" si="39">AA202</f>
        <v>0</v>
      </c>
      <c r="CZ202">
        <f t="shared" ref="CZ202:CZ218" si="40">AE202</f>
        <v>0</v>
      </c>
      <c r="DA202">
        <f t="shared" ref="DA202:DA218" si="41">AI202</f>
        <v>6.71</v>
      </c>
      <c r="DB202">
        <f t="shared" ref="DB202:DB225" si="42">ROUND(ROUND(AT202*CZ202,2),2)</f>
        <v>0</v>
      </c>
      <c r="DC202">
        <f t="shared" ref="DC202:DC225" si="43">ROUND(ROUND(AT202*AG202,2),2)</f>
        <v>0</v>
      </c>
    </row>
    <row r="203" spans="1:107" x14ac:dyDescent="0.2">
      <c r="A203">
        <f>ROW(Source!A136)</f>
        <v>136</v>
      </c>
      <c r="B203">
        <v>16808636</v>
      </c>
      <c r="C203">
        <v>16810580</v>
      </c>
      <c r="D203">
        <v>15166816</v>
      </c>
      <c r="E203">
        <v>1</v>
      </c>
      <c r="F203">
        <v>1</v>
      </c>
      <c r="G203">
        <v>1</v>
      </c>
      <c r="H203">
        <v>3</v>
      </c>
      <c r="I203" t="s">
        <v>385</v>
      </c>
      <c r="J203" t="s">
        <v>387</v>
      </c>
      <c r="K203" t="s">
        <v>386</v>
      </c>
      <c r="L203">
        <v>1327</v>
      </c>
      <c r="N203">
        <v>1005</v>
      </c>
      <c r="O203" t="s">
        <v>190</v>
      </c>
      <c r="P203" t="s">
        <v>190</v>
      </c>
      <c r="Q203">
        <v>1</v>
      </c>
      <c r="W203">
        <v>0</v>
      </c>
      <c r="X203">
        <v>675650468</v>
      </c>
      <c r="Y203">
        <v>421</v>
      </c>
      <c r="AA203">
        <v>137.35</v>
      </c>
      <c r="AB203">
        <v>0</v>
      </c>
      <c r="AC203">
        <v>0</v>
      </c>
      <c r="AD203">
        <v>0</v>
      </c>
      <c r="AE203">
        <v>20.47</v>
      </c>
      <c r="AF203">
        <v>0</v>
      </c>
      <c r="AG203">
        <v>0</v>
      </c>
      <c r="AH203">
        <v>0</v>
      </c>
      <c r="AI203">
        <v>6.71</v>
      </c>
      <c r="AJ203">
        <v>1</v>
      </c>
      <c r="AK203">
        <v>1</v>
      </c>
      <c r="AL203">
        <v>1</v>
      </c>
      <c r="AN203">
        <v>0</v>
      </c>
      <c r="AO203">
        <v>0</v>
      </c>
      <c r="AP203">
        <v>0</v>
      </c>
      <c r="AQ203">
        <v>0</v>
      </c>
      <c r="AR203">
        <v>0</v>
      </c>
      <c r="AS203" t="s">
        <v>6</v>
      </c>
      <c r="AT203">
        <v>421</v>
      </c>
      <c r="AU203" t="s">
        <v>6</v>
      </c>
      <c r="AV203">
        <v>0</v>
      </c>
      <c r="AW203">
        <v>1</v>
      </c>
      <c r="AX203">
        <v>-1</v>
      </c>
      <c r="AY203">
        <v>0</v>
      </c>
      <c r="AZ203">
        <v>0</v>
      </c>
      <c r="BA203" t="s">
        <v>6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Y203*Source!I136</f>
        <v>25.259999999999998</v>
      </c>
      <c r="CY203">
        <f t="shared" si="39"/>
        <v>137.35</v>
      </c>
      <c r="CZ203">
        <f t="shared" si="40"/>
        <v>20.47</v>
      </c>
      <c r="DA203">
        <f t="shared" si="41"/>
        <v>6.71</v>
      </c>
      <c r="DB203">
        <f t="shared" si="42"/>
        <v>8617.8700000000008</v>
      </c>
      <c r="DC203">
        <f t="shared" si="43"/>
        <v>0</v>
      </c>
    </row>
    <row r="204" spans="1:107" x14ac:dyDescent="0.2">
      <c r="A204">
        <f>ROW(Source!A136)</f>
        <v>136</v>
      </c>
      <c r="B204">
        <v>16808636</v>
      </c>
      <c r="C204">
        <v>16810580</v>
      </c>
      <c r="D204">
        <v>15167286</v>
      </c>
      <c r="E204">
        <v>1</v>
      </c>
      <c r="F204">
        <v>1</v>
      </c>
      <c r="G204">
        <v>1</v>
      </c>
      <c r="H204">
        <v>3</v>
      </c>
      <c r="I204" t="s">
        <v>781</v>
      </c>
      <c r="J204" t="s">
        <v>782</v>
      </c>
      <c r="K204" t="s">
        <v>783</v>
      </c>
      <c r="L204">
        <v>1339</v>
      </c>
      <c r="N204">
        <v>1007</v>
      </c>
      <c r="O204" t="s">
        <v>254</v>
      </c>
      <c r="P204" t="s">
        <v>254</v>
      </c>
      <c r="Q204">
        <v>1</v>
      </c>
      <c r="W204">
        <v>0</v>
      </c>
      <c r="X204">
        <v>-1660354250</v>
      </c>
      <c r="Y204">
        <v>0.13</v>
      </c>
      <c r="AA204">
        <v>16.37</v>
      </c>
      <c r="AB204">
        <v>0</v>
      </c>
      <c r="AC204">
        <v>0</v>
      </c>
      <c r="AD204">
        <v>0</v>
      </c>
      <c r="AE204">
        <v>2.44</v>
      </c>
      <c r="AF204">
        <v>0</v>
      </c>
      <c r="AG204">
        <v>0</v>
      </c>
      <c r="AH204">
        <v>0</v>
      </c>
      <c r="AI204">
        <v>6.71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6</v>
      </c>
      <c r="AT204">
        <v>0.13</v>
      </c>
      <c r="AU204" t="s">
        <v>6</v>
      </c>
      <c r="AV204">
        <v>0</v>
      </c>
      <c r="AW204">
        <v>2</v>
      </c>
      <c r="AX204">
        <v>16810603</v>
      </c>
      <c r="AY204">
        <v>1</v>
      </c>
      <c r="AZ204">
        <v>0</v>
      </c>
      <c r="BA204">
        <v>190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Y204*Source!I136</f>
        <v>7.7999999999999996E-3</v>
      </c>
      <c r="CY204">
        <f t="shared" si="39"/>
        <v>16.37</v>
      </c>
      <c r="CZ204">
        <f t="shared" si="40"/>
        <v>2.44</v>
      </c>
      <c r="DA204">
        <f t="shared" si="41"/>
        <v>6.71</v>
      </c>
      <c r="DB204">
        <f t="shared" si="42"/>
        <v>0.32</v>
      </c>
      <c r="DC204">
        <f t="shared" si="43"/>
        <v>0</v>
      </c>
    </row>
    <row r="205" spans="1:107" x14ac:dyDescent="0.2">
      <c r="A205">
        <f>ROW(Source!A136)</f>
        <v>136</v>
      </c>
      <c r="B205">
        <v>16808636</v>
      </c>
      <c r="C205">
        <v>16810580</v>
      </c>
      <c r="D205">
        <v>15167548</v>
      </c>
      <c r="E205">
        <v>1</v>
      </c>
      <c r="F205">
        <v>1</v>
      </c>
      <c r="G205">
        <v>1</v>
      </c>
      <c r="H205">
        <v>3</v>
      </c>
      <c r="I205" t="s">
        <v>389</v>
      </c>
      <c r="J205" t="s">
        <v>391</v>
      </c>
      <c r="K205" t="s">
        <v>390</v>
      </c>
      <c r="L205">
        <v>1301</v>
      </c>
      <c r="N205">
        <v>1003</v>
      </c>
      <c r="O205" t="s">
        <v>202</v>
      </c>
      <c r="P205" t="s">
        <v>202</v>
      </c>
      <c r="Q205">
        <v>1</v>
      </c>
      <c r="W205">
        <v>0</v>
      </c>
      <c r="X205">
        <v>207034482</v>
      </c>
      <c r="Y205">
        <v>126</v>
      </c>
      <c r="AA205">
        <v>4.03</v>
      </c>
      <c r="AB205">
        <v>0</v>
      </c>
      <c r="AC205">
        <v>0</v>
      </c>
      <c r="AD205">
        <v>0</v>
      </c>
      <c r="AE205">
        <v>0.6</v>
      </c>
      <c r="AF205">
        <v>0</v>
      </c>
      <c r="AG205">
        <v>0</v>
      </c>
      <c r="AH205">
        <v>0</v>
      </c>
      <c r="AI205">
        <v>6.71</v>
      </c>
      <c r="AJ205">
        <v>1</v>
      </c>
      <c r="AK205">
        <v>1</v>
      </c>
      <c r="AL205">
        <v>1</v>
      </c>
      <c r="AN205">
        <v>0</v>
      </c>
      <c r="AO205">
        <v>0</v>
      </c>
      <c r="AP205">
        <v>0</v>
      </c>
      <c r="AQ205">
        <v>0</v>
      </c>
      <c r="AR205">
        <v>0</v>
      </c>
      <c r="AS205" t="s">
        <v>6</v>
      </c>
      <c r="AT205">
        <v>126</v>
      </c>
      <c r="AU205" t="s">
        <v>6</v>
      </c>
      <c r="AV205">
        <v>0</v>
      </c>
      <c r="AW205">
        <v>1</v>
      </c>
      <c r="AX205">
        <v>-1</v>
      </c>
      <c r="AY205">
        <v>0</v>
      </c>
      <c r="AZ205">
        <v>0</v>
      </c>
      <c r="BA205" t="s">
        <v>6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Y205*Source!I136</f>
        <v>7.56</v>
      </c>
      <c r="CY205">
        <f t="shared" si="39"/>
        <v>4.03</v>
      </c>
      <c r="CZ205">
        <f t="shared" si="40"/>
        <v>0.6</v>
      </c>
      <c r="DA205">
        <f t="shared" si="41"/>
        <v>6.71</v>
      </c>
      <c r="DB205">
        <f t="shared" si="42"/>
        <v>75.599999999999994</v>
      </c>
      <c r="DC205">
        <f t="shared" si="43"/>
        <v>0</v>
      </c>
    </row>
    <row r="206" spans="1:107" x14ac:dyDescent="0.2">
      <c r="A206">
        <f>ROW(Source!A136)</f>
        <v>136</v>
      </c>
      <c r="B206">
        <v>16808636</v>
      </c>
      <c r="C206">
        <v>16810580</v>
      </c>
      <c r="D206">
        <v>15167572</v>
      </c>
      <c r="E206">
        <v>1</v>
      </c>
      <c r="F206">
        <v>1</v>
      </c>
      <c r="G206">
        <v>1</v>
      </c>
      <c r="H206">
        <v>3</v>
      </c>
      <c r="I206" t="s">
        <v>888</v>
      </c>
      <c r="J206" t="s">
        <v>889</v>
      </c>
      <c r="K206" t="s">
        <v>890</v>
      </c>
      <c r="L206">
        <v>1301</v>
      </c>
      <c r="N206">
        <v>1003</v>
      </c>
      <c r="O206" t="s">
        <v>202</v>
      </c>
      <c r="P206" t="s">
        <v>202</v>
      </c>
      <c r="Q206">
        <v>1</v>
      </c>
      <c r="W206">
        <v>0</v>
      </c>
      <c r="X206">
        <v>1016996156</v>
      </c>
      <c r="Y206">
        <v>152</v>
      </c>
      <c r="AA206">
        <v>1.1399999999999999</v>
      </c>
      <c r="AB206">
        <v>0</v>
      </c>
      <c r="AC206">
        <v>0</v>
      </c>
      <c r="AD206">
        <v>0</v>
      </c>
      <c r="AE206">
        <v>0.17</v>
      </c>
      <c r="AF206">
        <v>0</v>
      </c>
      <c r="AG206">
        <v>0</v>
      </c>
      <c r="AH206">
        <v>0</v>
      </c>
      <c r="AI206">
        <v>6.71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6</v>
      </c>
      <c r="AT206">
        <v>152</v>
      </c>
      <c r="AU206" t="s">
        <v>6</v>
      </c>
      <c r="AV206">
        <v>0</v>
      </c>
      <c r="AW206">
        <v>2</v>
      </c>
      <c r="AX206">
        <v>16810604</v>
      </c>
      <c r="AY206">
        <v>1</v>
      </c>
      <c r="AZ206">
        <v>0</v>
      </c>
      <c r="BA206">
        <v>191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Y206*Source!I136</f>
        <v>9.1199999999999992</v>
      </c>
      <c r="CY206">
        <f t="shared" si="39"/>
        <v>1.1399999999999999</v>
      </c>
      <c r="CZ206">
        <f t="shared" si="40"/>
        <v>0.17</v>
      </c>
      <c r="DA206">
        <f t="shared" si="41"/>
        <v>6.71</v>
      </c>
      <c r="DB206">
        <f t="shared" si="42"/>
        <v>25.84</v>
      </c>
      <c r="DC206">
        <f t="shared" si="43"/>
        <v>0</v>
      </c>
    </row>
    <row r="207" spans="1:107" x14ac:dyDescent="0.2">
      <c r="A207">
        <f>ROW(Source!A136)</f>
        <v>136</v>
      </c>
      <c r="B207">
        <v>16808636</v>
      </c>
      <c r="C207">
        <v>16810580</v>
      </c>
      <c r="D207">
        <v>15167577</v>
      </c>
      <c r="E207">
        <v>1</v>
      </c>
      <c r="F207">
        <v>1</v>
      </c>
      <c r="G207">
        <v>1</v>
      </c>
      <c r="H207">
        <v>3</v>
      </c>
      <c r="I207" t="s">
        <v>891</v>
      </c>
      <c r="J207" t="s">
        <v>892</v>
      </c>
      <c r="K207" t="s">
        <v>893</v>
      </c>
      <c r="L207">
        <v>1308</v>
      </c>
      <c r="N207">
        <v>1003</v>
      </c>
      <c r="O207" t="s">
        <v>40</v>
      </c>
      <c r="P207" t="s">
        <v>40</v>
      </c>
      <c r="Q207">
        <v>100</v>
      </c>
      <c r="W207">
        <v>0</v>
      </c>
      <c r="X207">
        <v>254035190</v>
      </c>
      <c r="Y207">
        <v>1.77</v>
      </c>
      <c r="AA207">
        <v>1160.83</v>
      </c>
      <c r="AB207">
        <v>0</v>
      </c>
      <c r="AC207">
        <v>0</v>
      </c>
      <c r="AD207">
        <v>0</v>
      </c>
      <c r="AE207">
        <v>173</v>
      </c>
      <c r="AF207">
        <v>0</v>
      </c>
      <c r="AG207">
        <v>0</v>
      </c>
      <c r="AH207">
        <v>0</v>
      </c>
      <c r="AI207">
        <v>6.71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6</v>
      </c>
      <c r="AT207">
        <v>1.77</v>
      </c>
      <c r="AU207" t="s">
        <v>6</v>
      </c>
      <c r="AV207">
        <v>0</v>
      </c>
      <c r="AW207">
        <v>2</v>
      </c>
      <c r="AX207">
        <v>16810605</v>
      </c>
      <c r="AY207">
        <v>1</v>
      </c>
      <c r="AZ207">
        <v>0</v>
      </c>
      <c r="BA207">
        <v>192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Y207*Source!I136</f>
        <v>0.1062</v>
      </c>
      <c r="CY207">
        <f t="shared" si="39"/>
        <v>1160.83</v>
      </c>
      <c r="CZ207">
        <f t="shared" si="40"/>
        <v>173</v>
      </c>
      <c r="DA207">
        <f t="shared" si="41"/>
        <v>6.71</v>
      </c>
      <c r="DB207">
        <f t="shared" si="42"/>
        <v>306.20999999999998</v>
      </c>
      <c r="DC207">
        <f t="shared" si="43"/>
        <v>0</v>
      </c>
    </row>
    <row r="208" spans="1:107" x14ac:dyDescent="0.2">
      <c r="A208">
        <f>ROW(Source!A136)</f>
        <v>136</v>
      </c>
      <c r="B208">
        <v>16808636</v>
      </c>
      <c r="C208">
        <v>16810580</v>
      </c>
      <c r="D208">
        <v>15162565</v>
      </c>
      <c r="E208">
        <v>17</v>
      </c>
      <c r="F208">
        <v>1</v>
      </c>
      <c r="G208">
        <v>1</v>
      </c>
      <c r="H208">
        <v>3</v>
      </c>
      <c r="I208" t="s">
        <v>393</v>
      </c>
      <c r="J208" t="s">
        <v>6</v>
      </c>
      <c r="K208" t="s">
        <v>394</v>
      </c>
      <c r="L208">
        <v>1301</v>
      </c>
      <c r="N208">
        <v>1003</v>
      </c>
      <c r="O208" t="s">
        <v>202</v>
      </c>
      <c r="P208" t="s">
        <v>202</v>
      </c>
      <c r="Q208">
        <v>1</v>
      </c>
      <c r="W208">
        <v>0</v>
      </c>
      <c r="X208">
        <v>-1225318320</v>
      </c>
      <c r="Y208">
        <v>126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6.71</v>
      </c>
      <c r="AJ208">
        <v>1</v>
      </c>
      <c r="AK208">
        <v>1</v>
      </c>
      <c r="AL208">
        <v>1</v>
      </c>
      <c r="AN208">
        <v>0</v>
      </c>
      <c r="AO208">
        <v>0</v>
      </c>
      <c r="AP208">
        <v>0</v>
      </c>
      <c r="AQ208">
        <v>0</v>
      </c>
      <c r="AR208">
        <v>0</v>
      </c>
      <c r="AS208" t="s">
        <v>6</v>
      </c>
      <c r="AT208">
        <v>126</v>
      </c>
      <c r="AU208" t="s">
        <v>6</v>
      </c>
      <c r="AV208">
        <v>0</v>
      </c>
      <c r="AW208">
        <v>2</v>
      </c>
      <c r="AX208">
        <v>16810606</v>
      </c>
      <c r="AY208">
        <v>1</v>
      </c>
      <c r="AZ208">
        <v>0</v>
      </c>
      <c r="BA208">
        <v>193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Y208*Source!I136</f>
        <v>7.56</v>
      </c>
      <c r="CY208">
        <f t="shared" si="39"/>
        <v>0</v>
      </c>
      <c r="CZ208">
        <f t="shared" si="40"/>
        <v>0</v>
      </c>
      <c r="DA208">
        <f t="shared" si="41"/>
        <v>6.71</v>
      </c>
      <c r="DB208">
        <f t="shared" si="42"/>
        <v>0</v>
      </c>
      <c r="DC208">
        <f t="shared" si="43"/>
        <v>0</v>
      </c>
    </row>
    <row r="209" spans="1:107" x14ac:dyDescent="0.2">
      <c r="A209">
        <f>ROW(Source!A136)</f>
        <v>136</v>
      </c>
      <c r="B209">
        <v>16808636</v>
      </c>
      <c r="C209">
        <v>16810580</v>
      </c>
      <c r="D209">
        <v>15170155</v>
      </c>
      <c r="E209">
        <v>1</v>
      </c>
      <c r="F209">
        <v>1</v>
      </c>
      <c r="G209">
        <v>1</v>
      </c>
      <c r="H209">
        <v>3</v>
      </c>
      <c r="I209" t="s">
        <v>894</v>
      </c>
      <c r="J209" t="s">
        <v>895</v>
      </c>
      <c r="K209" t="s">
        <v>896</v>
      </c>
      <c r="L209">
        <v>1355</v>
      </c>
      <c r="N209">
        <v>1010</v>
      </c>
      <c r="O209" t="s">
        <v>326</v>
      </c>
      <c r="P209" t="s">
        <v>326</v>
      </c>
      <c r="Q209">
        <v>100</v>
      </c>
      <c r="W209">
        <v>0</v>
      </c>
      <c r="X209">
        <v>1135215184</v>
      </c>
      <c r="Y209">
        <v>1.69</v>
      </c>
      <c r="AA209">
        <v>53.68</v>
      </c>
      <c r="AB209">
        <v>0</v>
      </c>
      <c r="AC209">
        <v>0</v>
      </c>
      <c r="AD209">
        <v>0</v>
      </c>
      <c r="AE209">
        <v>8</v>
      </c>
      <c r="AF209">
        <v>0</v>
      </c>
      <c r="AG209">
        <v>0</v>
      </c>
      <c r="AH209">
        <v>0</v>
      </c>
      <c r="AI209">
        <v>6.71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6</v>
      </c>
      <c r="AT209">
        <v>1.69</v>
      </c>
      <c r="AU209" t="s">
        <v>6</v>
      </c>
      <c r="AV209">
        <v>0</v>
      </c>
      <c r="AW209">
        <v>2</v>
      </c>
      <c r="AX209">
        <v>16810607</v>
      </c>
      <c r="AY209">
        <v>1</v>
      </c>
      <c r="AZ209">
        <v>0</v>
      </c>
      <c r="BA209">
        <v>194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Y209*Source!I136</f>
        <v>0.10139999999999999</v>
      </c>
      <c r="CY209">
        <f t="shared" si="39"/>
        <v>53.68</v>
      </c>
      <c r="CZ209">
        <f t="shared" si="40"/>
        <v>8</v>
      </c>
      <c r="DA209">
        <f t="shared" si="41"/>
        <v>6.71</v>
      </c>
      <c r="DB209">
        <f t="shared" si="42"/>
        <v>13.52</v>
      </c>
      <c r="DC209">
        <f t="shared" si="43"/>
        <v>0</v>
      </c>
    </row>
    <row r="210" spans="1:107" x14ac:dyDescent="0.2">
      <c r="A210">
        <f>ROW(Source!A136)</f>
        <v>136</v>
      </c>
      <c r="B210">
        <v>16808636</v>
      </c>
      <c r="C210">
        <v>16810580</v>
      </c>
      <c r="D210">
        <v>15170385</v>
      </c>
      <c r="E210">
        <v>1</v>
      </c>
      <c r="F210">
        <v>1</v>
      </c>
      <c r="G210">
        <v>1</v>
      </c>
      <c r="H210">
        <v>3</v>
      </c>
      <c r="I210" t="s">
        <v>897</v>
      </c>
      <c r="J210" t="s">
        <v>898</v>
      </c>
      <c r="K210" t="s">
        <v>899</v>
      </c>
      <c r="L210">
        <v>1355</v>
      </c>
      <c r="N210">
        <v>1010</v>
      </c>
      <c r="O210" t="s">
        <v>326</v>
      </c>
      <c r="P210" t="s">
        <v>326</v>
      </c>
      <c r="Q210">
        <v>100</v>
      </c>
      <c r="W210">
        <v>0</v>
      </c>
      <c r="X210">
        <v>-1705958995</v>
      </c>
      <c r="Y210">
        <v>13.53</v>
      </c>
      <c r="AA210">
        <v>13.42</v>
      </c>
      <c r="AB210">
        <v>0</v>
      </c>
      <c r="AC210">
        <v>0</v>
      </c>
      <c r="AD210">
        <v>0</v>
      </c>
      <c r="AE210">
        <v>2</v>
      </c>
      <c r="AF210">
        <v>0</v>
      </c>
      <c r="AG210">
        <v>0</v>
      </c>
      <c r="AH210">
        <v>0</v>
      </c>
      <c r="AI210">
        <v>6.71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6</v>
      </c>
      <c r="AT210">
        <v>13.53</v>
      </c>
      <c r="AU210" t="s">
        <v>6</v>
      </c>
      <c r="AV210">
        <v>0</v>
      </c>
      <c r="AW210">
        <v>2</v>
      </c>
      <c r="AX210">
        <v>16810608</v>
      </c>
      <c r="AY210">
        <v>1</v>
      </c>
      <c r="AZ210">
        <v>0</v>
      </c>
      <c r="BA210">
        <v>195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Y210*Source!I136</f>
        <v>0.81179999999999997</v>
      </c>
      <c r="CY210">
        <f t="shared" si="39"/>
        <v>13.42</v>
      </c>
      <c r="CZ210">
        <f t="shared" si="40"/>
        <v>2</v>
      </c>
      <c r="DA210">
        <f t="shared" si="41"/>
        <v>6.71</v>
      </c>
      <c r="DB210">
        <f t="shared" si="42"/>
        <v>27.06</v>
      </c>
      <c r="DC210">
        <f t="shared" si="43"/>
        <v>0</v>
      </c>
    </row>
    <row r="211" spans="1:107" x14ac:dyDescent="0.2">
      <c r="A211">
        <f>ROW(Source!A136)</f>
        <v>136</v>
      </c>
      <c r="B211">
        <v>16808636</v>
      </c>
      <c r="C211">
        <v>16810580</v>
      </c>
      <c r="D211">
        <v>15170386</v>
      </c>
      <c r="E211">
        <v>1</v>
      </c>
      <c r="F211">
        <v>1</v>
      </c>
      <c r="G211">
        <v>1</v>
      </c>
      <c r="H211">
        <v>3</v>
      </c>
      <c r="I211" t="s">
        <v>900</v>
      </c>
      <c r="J211" t="s">
        <v>901</v>
      </c>
      <c r="K211" t="s">
        <v>902</v>
      </c>
      <c r="L211">
        <v>1355</v>
      </c>
      <c r="N211">
        <v>1010</v>
      </c>
      <c r="O211" t="s">
        <v>326</v>
      </c>
      <c r="P211" t="s">
        <v>326</v>
      </c>
      <c r="Q211">
        <v>100</v>
      </c>
      <c r="W211">
        <v>0</v>
      </c>
      <c r="X211">
        <v>1246439685</v>
      </c>
      <c r="Y211">
        <v>35.33</v>
      </c>
      <c r="AA211">
        <v>20.13</v>
      </c>
      <c r="AB211">
        <v>0</v>
      </c>
      <c r="AC211">
        <v>0</v>
      </c>
      <c r="AD211">
        <v>0</v>
      </c>
      <c r="AE211">
        <v>3</v>
      </c>
      <c r="AF211">
        <v>0</v>
      </c>
      <c r="AG211">
        <v>0</v>
      </c>
      <c r="AH211">
        <v>0</v>
      </c>
      <c r="AI211">
        <v>6.71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6</v>
      </c>
      <c r="AT211">
        <v>35.33</v>
      </c>
      <c r="AU211" t="s">
        <v>6</v>
      </c>
      <c r="AV211">
        <v>0</v>
      </c>
      <c r="AW211">
        <v>2</v>
      </c>
      <c r="AX211">
        <v>16810609</v>
      </c>
      <c r="AY211">
        <v>1</v>
      </c>
      <c r="AZ211">
        <v>0</v>
      </c>
      <c r="BA211">
        <v>196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Y211*Source!I136</f>
        <v>2.1197999999999997</v>
      </c>
      <c r="CY211">
        <f t="shared" si="39"/>
        <v>20.13</v>
      </c>
      <c r="CZ211">
        <f t="shared" si="40"/>
        <v>3</v>
      </c>
      <c r="DA211">
        <f t="shared" si="41"/>
        <v>6.71</v>
      </c>
      <c r="DB211">
        <f t="shared" si="42"/>
        <v>105.99</v>
      </c>
      <c r="DC211">
        <f t="shared" si="43"/>
        <v>0</v>
      </c>
    </row>
    <row r="212" spans="1:107" x14ac:dyDescent="0.2">
      <c r="A212">
        <f>ROW(Source!A136)</f>
        <v>136</v>
      </c>
      <c r="B212">
        <v>16808636</v>
      </c>
      <c r="C212">
        <v>16810580</v>
      </c>
      <c r="D212">
        <v>15162556</v>
      </c>
      <c r="E212">
        <v>17</v>
      </c>
      <c r="F212">
        <v>1</v>
      </c>
      <c r="G212">
        <v>1</v>
      </c>
      <c r="H212">
        <v>3</v>
      </c>
      <c r="I212" t="s">
        <v>396</v>
      </c>
      <c r="J212" t="s">
        <v>6</v>
      </c>
      <c r="K212" t="s">
        <v>397</v>
      </c>
      <c r="L212">
        <v>1301</v>
      </c>
      <c r="N212">
        <v>1003</v>
      </c>
      <c r="O212" t="s">
        <v>202</v>
      </c>
      <c r="P212" t="s">
        <v>202</v>
      </c>
      <c r="Q212">
        <v>1</v>
      </c>
      <c r="W212">
        <v>0</v>
      </c>
      <c r="X212">
        <v>-543280927</v>
      </c>
      <c r="Y212">
        <v>76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6.71</v>
      </c>
      <c r="AJ212">
        <v>1</v>
      </c>
      <c r="AK212">
        <v>1</v>
      </c>
      <c r="AL212">
        <v>1</v>
      </c>
      <c r="AN212">
        <v>0</v>
      </c>
      <c r="AO212">
        <v>0</v>
      </c>
      <c r="AP212">
        <v>0</v>
      </c>
      <c r="AQ212">
        <v>0</v>
      </c>
      <c r="AR212">
        <v>0</v>
      </c>
      <c r="AS212" t="s">
        <v>6</v>
      </c>
      <c r="AT212">
        <v>76</v>
      </c>
      <c r="AU212" t="s">
        <v>6</v>
      </c>
      <c r="AV212">
        <v>0</v>
      </c>
      <c r="AW212">
        <v>2</v>
      </c>
      <c r="AX212">
        <v>16810610</v>
      </c>
      <c r="AY212">
        <v>1</v>
      </c>
      <c r="AZ212">
        <v>0</v>
      </c>
      <c r="BA212">
        <v>197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Y212*Source!I136</f>
        <v>4.5599999999999996</v>
      </c>
      <c r="CY212">
        <f t="shared" si="39"/>
        <v>0</v>
      </c>
      <c r="CZ212">
        <f t="shared" si="40"/>
        <v>0</v>
      </c>
      <c r="DA212">
        <f t="shared" si="41"/>
        <v>6.71</v>
      </c>
      <c r="DB212">
        <f t="shared" si="42"/>
        <v>0</v>
      </c>
      <c r="DC212">
        <f t="shared" si="43"/>
        <v>0</v>
      </c>
    </row>
    <row r="213" spans="1:107" x14ac:dyDescent="0.2">
      <c r="A213">
        <f>ROW(Source!A136)</f>
        <v>136</v>
      </c>
      <c r="B213">
        <v>16808636</v>
      </c>
      <c r="C213">
        <v>16810580</v>
      </c>
      <c r="D213">
        <v>15162556</v>
      </c>
      <c r="E213">
        <v>17</v>
      </c>
      <c r="F213">
        <v>1</v>
      </c>
      <c r="G213">
        <v>1</v>
      </c>
      <c r="H213">
        <v>3</v>
      </c>
      <c r="I213" t="s">
        <v>396</v>
      </c>
      <c r="J213" t="s">
        <v>6</v>
      </c>
      <c r="K213" t="s">
        <v>407</v>
      </c>
      <c r="L213">
        <v>1301</v>
      </c>
      <c r="N213">
        <v>1003</v>
      </c>
      <c r="O213" t="s">
        <v>202</v>
      </c>
      <c r="P213" t="s">
        <v>202</v>
      </c>
      <c r="Q213">
        <v>1</v>
      </c>
      <c r="W213">
        <v>0</v>
      </c>
      <c r="X213">
        <v>-200649644</v>
      </c>
      <c r="Y213">
        <v>204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6.71</v>
      </c>
      <c r="AJ213">
        <v>1</v>
      </c>
      <c r="AK213">
        <v>1</v>
      </c>
      <c r="AL213">
        <v>1</v>
      </c>
      <c r="AN213">
        <v>0</v>
      </c>
      <c r="AO213">
        <v>0</v>
      </c>
      <c r="AP213">
        <v>0</v>
      </c>
      <c r="AQ213">
        <v>0</v>
      </c>
      <c r="AR213">
        <v>0</v>
      </c>
      <c r="AS213" t="s">
        <v>6</v>
      </c>
      <c r="AT213">
        <v>204</v>
      </c>
      <c r="AU213" t="s">
        <v>6</v>
      </c>
      <c r="AV213">
        <v>0</v>
      </c>
      <c r="AW213">
        <v>2</v>
      </c>
      <c r="AX213">
        <v>16810611</v>
      </c>
      <c r="AY213">
        <v>1</v>
      </c>
      <c r="AZ213">
        <v>0</v>
      </c>
      <c r="BA213">
        <v>198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Y213*Source!I136</f>
        <v>12.24</v>
      </c>
      <c r="CY213">
        <f t="shared" si="39"/>
        <v>0</v>
      </c>
      <c r="CZ213">
        <f t="shared" si="40"/>
        <v>0</v>
      </c>
      <c r="DA213">
        <f t="shared" si="41"/>
        <v>6.71</v>
      </c>
      <c r="DB213">
        <f t="shared" si="42"/>
        <v>0</v>
      </c>
      <c r="DC213">
        <f t="shared" si="43"/>
        <v>0</v>
      </c>
    </row>
    <row r="214" spans="1:107" x14ac:dyDescent="0.2">
      <c r="A214">
        <f>ROW(Source!A136)</f>
        <v>136</v>
      </c>
      <c r="B214">
        <v>16808636</v>
      </c>
      <c r="C214">
        <v>16810580</v>
      </c>
      <c r="D214">
        <v>15188398</v>
      </c>
      <c r="E214">
        <v>1</v>
      </c>
      <c r="F214">
        <v>1</v>
      </c>
      <c r="G214">
        <v>1</v>
      </c>
      <c r="H214">
        <v>3</v>
      </c>
      <c r="I214" t="s">
        <v>399</v>
      </c>
      <c r="J214" t="s">
        <v>401</v>
      </c>
      <c r="K214" t="s">
        <v>400</v>
      </c>
      <c r="L214">
        <v>1301</v>
      </c>
      <c r="N214">
        <v>1003</v>
      </c>
      <c r="O214" t="s">
        <v>202</v>
      </c>
      <c r="P214" t="s">
        <v>202</v>
      </c>
      <c r="Q214">
        <v>1</v>
      </c>
      <c r="W214">
        <v>0</v>
      </c>
      <c r="X214">
        <v>109987078</v>
      </c>
      <c r="Y214">
        <v>76</v>
      </c>
      <c r="AA214">
        <v>41.33</v>
      </c>
      <c r="AB214">
        <v>0</v>
      </c>
      <c r="AC214">
        <v>0</v>
      </c>
      <c r="AD214">
        <v>0</v>
      </c>
      <c r="AE214">
        <v>6.16</v>
      </c>
      <c r="AF214">
        <v>0</v>
      </c>
      <c r="AG214">
        <v>0</v>
      </c>
      <c r="AH214">
        <v>0</v>
      </c>
      <c r="AI214">
        <v>6.71</v>
      </c>
      <c r="AJ214">
        <v>1</v>
      </c>
      <c r="AK214">
        <v>1</v>
      </c>
      <c r="AL214">
        <v>1</v>
      </c>
      <c r="AN214">
        <v>0</v>
      </c>
      <c r="AO214">
        <v>0</v>
      </c>
      <c r="AP214">
        <v>0</v>
      </c>
      <c r="AQ214">
        <v>0</v>
      </c>
      <c r="AR214">
        <v>0</v>
      </c>
      <c r="AS214" t="s">
        <v>6</v>
      </c>
      <c r="AT214">
        <v>76</v>
      </c>
      <c r="AU214" t="s">
        <v>6</v>
      </c>
      <c r="AV214">
        <v>0</v>
      </c>
      <c r="AW214">
        <v>1</v>
      </c>
      <c r="AX214">
        <v>-1</v>
      </c>
      <c r="AY214">
        <v>0</v>
      </c>
      <c r="AZ214">
        <v>0</v>
      </c>
      <c r="BA214" t="s">
        <v>6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Y214*Source!I136</f>
        <v>4.5599999999999996</v>
      </c>
      <c r="CY214">
        <f t="shared" si="39"/>
        <v>41.33</v>
      </c>
      <c r="CZ214">
        <f t="shared" si="40"/>
        <v>6.16</v>
      </c>
      <c r="DA214">
        <f t="shared" si="41"/>
        <v>6.71</v>
      </c>
      <c r="DB214">
        <f t="shared" si="42"/>
        <v>468.16</v>
      </c>
      <c r="DC214">
        <f t="shared" si="43"/>
        <v>0</v>
      </c>
    </row>
    <row r="215" spans="1:107" x14ac:dyDescent="0.2">
      <c r="A215">
        <f>ROW(Source!A136)</f>
        <v>136</v>
      </c>
      <c r="B215">
        <v>16808636</v>
      </c>
      <c r="C215">
        <v>16810580</v>
      </c>
      <c r="D215">
        <v>15188461</v>
      </c>
      <c r="E215">
        <v>1</v>
      </c>
      <c r="F215">
        <v>1</v>
      </c>
      <c r="G215">
        <v>1</v>
      </c>
      <c r="H215">
        <v>3</v>
      </c>
      <c r="I215" t="s">
        <v>403</v>
      </c>
      <c r="J215" t="s">
        <v>405</v>
      </c>
      <c r="K215" t="s">
        <v>404</v>
      </c>
      <c r="L215">
        <v>1301</v>
      </c>
      <c r="N215">
        <v>1003</v>
      </c>
      <c r="O215" t="s">
        <v>202</v>
      </c>
      <c r="P215" t="s">
        <v>202</v>
      </c>
      <c r="Q215">
        <v>1</v>
      </c>
      <c r="W215">
        <v>0</v>
      </c>
      <c r="X215">
        <v>-1691503815</v>
      </c>
      <c r="Y215">
        <v>204</v>
      </c>
      <c r="AA215">
        <v>33.75</v>
      </c>
      <c r="AB215">
        <v>0</v>
      </c>
      <c r="AC215">
        <v>0</v>
      </c>
      <c r="AD215">
        <v>0</v>
      </c>
      <c r="AE215">
        <v>5.03</v>
      </c>
      <c r="AF215">
        <v>0</v>
      </c>
      <c r="AG215">
        <v>0</v>
      </c>
      <c r="AH215">
        <v>0</v>
      </c>
      <c r="AI215">
        <v>6.71</v>
      </c>
      <c r="AJ215">
        <v>1</v>
      </c>
      <c r="AK215">
        <v>1</v>
      </c>
      <c r="AL215">
        <v>1</v>
      </c>
      <c r="AN215">
        <v>0</v>
      </c>
      <c r="AO215">
        <v>0</v>
      </c>
      <c r="AP215">
        <v>0</v>
      </c>
      <c r="AQ215">
        <v>0</v>
      </c>
      <c r="AR215">
        <v>0</v>
      </c>
      <c r="AS215" t="s">
        <v>6</v>
      </c>
      <c r="AT215">
        <v>204</v>
      </c>
      <c r="AU215" t="s">
        <v>6</v>
      </c>
      <c r="AV215">
        <v>0</v>
      </c>
      <c r="AW215">
        <v>1</v>
      </c>
      <c r="AX215">
        <v>-1</v>
      </c>
      <c r="AY215">
        <v>0</v>
      </c>
      <c r="AZ215">
        <v>0</v>
      </c>
      <c r="BA215" t="s">
        <v>6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Y215*Source!I136</f>
        <v>12.24</v>
      </c>
      <c r="CY215">
        <f t="shared" si="39"/>
        <v>33.75</v>
      </c>
      <c r="CZ215">
        <f t="shared" si="40"/>
        <v>5.03</v>
      </c>
      <c r="DA215">
        <f t="shared" si="41"/>
        <v>6.71</v>
      </c>
      <c r="DB215">
        <f t="shared" si="42"/>
        <v>1026.1199999999999</v>
      </c>
      <c r="DC215">
        <f t="shared" si="43"/>
        <v>0</v>
      </c>
    </row>
    <row r="216" spans="1:107" x14ac:dyDescent="0.2">
      <c r="A216">
        <f>ROW(Source!A136)</f>
        <v>136</v>
      </c>
      <c r="B216">
        <v>16808636</v>
      </c>
      <c r="C216">
        <v>16810580</v>
      </c>
      <c r="D216">
        <v>15203471</v>
      </c>
      <c r="E216">
        <v>1</v>
      </c>
      <c r="F216">
        <v>1</v>
      </c>
      <c r="G216">
        <v>1</v>
      </c>
      <c r="H216">
        <v>3</v>
      </c>
      <c r="I216" t="s">
        <v>903</v>
      </c>
      <c r="J216" t="s">
        <v>904</v>
      </c>
      <c r="K216" t="s">
        <v>905</v>
      </c>
      <c r="L216">
        <v>1346</v>
      </c>
      <c r="N216">
        <v>1009</v>
      </c>
      <c r="O216" t="s">
        <v>300</v>
      </c>
      <c r="P216" t="s">
        <v>300</v>
      </c>
      <c r="Q216">
        <v>1</v>
      </c>
      <c r="W216">
        <v>0</v>
      </c>
      <c r="X216">
        <v>1693558002</v>
      </c>
      <c r="Y216">
        <v>20</v>
      </c>
      <c r="AA216">
        <v>87.77</v>
      </c>
      <c r="AB216">
        <v>0</v>
      </c>
      <c r="AC216">
        <v>0</v>
      </c>
      <c r="AD216">
        <v>0</v>
      </c>
      <c r="AE216">
        <v>13.08</v>
      </c>
      <c r="AF216">
        <v>0</v>
      </c>
      <c r="AG216">
        <v>0</v>
      </c>
      <c r="AH216">
        <v>0</v>
      </c>
      <c r="AI216">
        <v>6.71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6</v>
      </c>
      <c r="AT216">
        <v>20</v>
      </c>
      <c r="AU216" t="s">
        <v>6</v>
      </c>
      <c r="AV216">
        <v>0</v>
      </c>
      <c r="AW216">
        <v>2</v>
      </c>
      <c r="AX216">
        <v>16810613</v>
      </c>
      <c r="AY216">
        <v>1</v>
      </c>
      <c r="AZ216">
        <v>0</v>
      </c>
      <c r="BA216">
        <v>200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Y216*Source!I136</f>
        <v>1.2</v>
      </c>
      <c r="CY216">
        <f t="shared" si="39"/>
        <v>87.77</v>
      </c>
      <c r="CZ216">
        <f t="shared" si="40"/>
        <v>13.08</v>
      </c>
      <c r="DA216">
        <f t="shared" si="41"/>
        <v>6.71</v>
      </c>
      <c r="DB216">
        <f t="shared" si="42"/>
        <v>261.60000000000002</v>
      </c>
      <c r="DC216">
        <f t="shared" si="43"/>
        <v>0</v>
      </c>
    </row>
    <row r="217" spans="1:107" x14ac:dyDescent="0.2">
      <c r="A217">
        <f>ROW(Source!A136)</f>
        <v>136</v>
      </c>
      <c r="B217">
        <v>16808636</v>
      </c>
      <c r="C217">
        <v>16810580</v>
      </c>
      <c r="D217">
        <v>15204745</v>
      </c>
      <c r="E217">
        <v>1</v>
      </c>
      <c r="F217">
        <v>1</v>
      </c>
      <c r="G217">
        <v>1</v>
      </c>
      <c r="H217">
        <v>3</v>
      </c>
      <c r="I217" t="s">
        <v>906</v>
      </c>
      <c r="J217" t="s">
        <v>907</v>
      </c>
      <c r="K217" t="s">
        <v>908</v>
      </c>
      <c r="L217">
        <v>1346</v>
      </c>
      <c r="N217">
        <v>1009</v>
      </c>
      <c r="O217" t="s">
        <v>300</v>
      </c>
      <c r="P217" t="s">
        <v>300</v>
      </c>
      <c r="Q217">
        <v>1</v>
      </c>
      <c r="W217">
        <v>0</v>
      </c>
      <c r="X217">
        <v>-1147914635</v>
      </c>
      <c r="Y217">
        <v>21</v>
      </c>
      <c r="AA217">
        <v>50.06</v>
      </c>
      <c r="AB217">
        <v>0</v>
      </c>
      <c r="AC217">
        <v>0</v>
      </c>
      <c r="AD217">
        <v>0</v>
      </c>
      <c r="AE217">
        <v>7.46</v>
      </c>
      <c r="AF217">
        <v>0</v>
      </c>
      <c r="AG217">
        <v>0</v>
      </c>
      <c r="AH217">
        <v>0</v>
      </c>
      <c r="AI217">
        <v>6.71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6</v>
      </c>
      <c r="AT217">
        <v>21</v>
      </c>
      <c r="AU217" t="s">
        <v>6</v>
      </c>
      <c r="AV217">
        <v>0</v>
      </c>
      <c r="AW217">
        <v>2</v>
      </c>
      <c r="AX217">
        <v>16810614</v>
      </c>
      <c r="AY217">
        <v>1</v>
      </c>
      <c r="AZ217">
        <v>0</v>
      </c>
      <c r="BA217">
        <v>201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Y217*Source!I136</f>
        <v>1.26</v>
      </c>
      <c r="CY217">
        <f t="shared" si="39"/>
        <v>50.06</v>
      </c>
      <c r="CZ217">
        <f t="shared" si="40"/>
        <v>7.46</v>
      </c>
      <c r="DA217">
        <f t="shared" si="41"/>
        <v>6.71</v>
      </c>
      <c r="DB217">
        <f t="shared" si="42"/>
        <v>156.66</v>
      </c>
      <c r="DC217">
        <f t="shared" si="43"/>
        <v>0</v>
      </c>
    </row>
    <row r="218" spans="1:107" x14ac:dyDescent="0.2">
      <c r="A218">
        <f>ROW(Source!A136)</f>
        <v>136</v>
      </c>
      <c r="B218">
        <v>16808636</v>
      </c>
      <c r="C218">
        <v>16810580</v>
      </c>
      <c r="D218">
        <v>15204748</v>
      </c>
      <c r="E218">
        <v>1</v>
      </c>
      <c r="F218">
        <v>1</v>
      </c>
      <c r="G218">
        <v>1</v>
      </c>
      <c r="H218">
        <v>3</v>
      </c>
      <c r="I218" t="s">
        <v>909</v>
      </c>
      <c r="J218" t="s">
        <v>910</v>
      </c>
      <c r="K218" t="s">
        <v>911</v>
      </c>
      <c r="L218">
        <v>1346</v>
      </c>
      <c r="N218">
        <v>1009</v>
      </c>
      <c r="O218" t="s">
        <v>300</v>
      </c>
      <c r="P218" t="s">
        <v>300</v>
      </c>
      <c r="Q218">
        <v>1</v>
      </c>
      <c r="W218">
        <v>0</v>
      </c>
      <c r="X218">
        <v>1425634898</v>
      </c>
      <c r="Y218">
        <v>149</v>
      </c>
      <c r="AA218">
        <v>18.12</v>
      </c>
      <c r="AB218">
        <v>0</v>
      </c>
      <c r="AC218">
        <v>0</v>
      </c>
      <c r="AD218">
        <v>0</v>
      </c>
      <c r="AE218">
        <v>2.7</v>
      </c>
      <c r="AF218">
        <v>0</v>
      </c>
      <c r="AG218">
        <v>0</v>
      </c>
      <c r="AH218">
        <v>0</v>
      </c>
      <c r="AI218">
        <v>6.71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6</v>
      </c>
      <c r="AT218">
        <v>149</v>
      </c>
      <c r="AU218" t="s">
        <v>6</v>
      </c>
      <c r="AV218">
        <v>0</v>
      </c>
      <c r="AW218">
        <v>2</v>
      </c>
      <c r="AX218">
        <v>16810615</v>
      </c>
      <c r="AY218">
        <v>1</v>
      </c>
      <c r="AZ218">
        <v>0</v>
      </c>
      <c r="BA218">
        <v>202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Y218*Source!I136</f>
        <v>8.94</v>
      </c>
      <c r="CY218">
        <f t="shared" si="39"/>
        <v>18.12</v>
      </c>
      <c r="CZ218">
        <f t="shared" si="40"/>
        <v>2.7</v>
      </c>
      <c r="DA218">
        <f t="shared" si="41"/>
        <v>6.71</v>
      </c>
      <c r="DB218">
        <f t="shared" si="42"/>
        <v>402.3</v>
      </c>
      <c r="DC218">
        <f t="shared" si="43"/>
        <v>0</v>
      </c>
    </row>
    <row r="219" spans="1:107" x14ac:dyDescent="0.2">
      <c r="A219">
        <f>ROW(Source!A145)</f>
        <v>145</v>
      </c>
      <c r="B219">
        <v>16808636</v>
      </c>
      <c r="C219">
        <v>16810624</v>
      </c>
      <c r="D219">
        <v>15436014</v>
      </c>
      <c r="E219">
        <v>1</v>
      </c>
      <c r="F219">
        <v>1</v>
      </c>
      <c r="G219">
        <v>1</v>
      </c>
      <c r="H219">
        <v>1</v>
      </c>
      <c r="I219" t="s">
        <v>868</v>
      </c>
      <c r="J219" t="s">
        <v>6</v>
      </c>
      <c r="K219" t="s">
        <v>869</v>
      </c>
      <c r="L219">
        <v>1191</v>
      </c>
      <c r="N219">
        <v>1013</v>
      </c>
      <c r="O219" t="s">
        <v>708</v>
      </c>
      <c r="P219" t="s">
        <v>708</v>
      </c>
      <c r="Q219">
        <v>1</v>
      </c>
      <c r="W219">
        <v>0</v>
      </c>
      <c r="X219">
        <v>-784637506</v>
      </c>
      <c r="Y219">
        <v>65.94</v>
      </c>
      <c r="AA219">
        <v>0</v>
      </c>
      <c r="AB219">
        <v>0</v>
      </c>
      <c r="AC219">
        <v>0</v>
      </c>
      <c r="AD219">
        <v>58.65</v>
      </c>
      <c r="AE219">
        <v>0</v>
      </c>
      <c r="AF219">
        <v>0</v>
      </c>
      <c r="AG219">
        <v>0</v>
      </c>
      <c r="AH219">
        <v>8.74</v>
      </c>
      <c r="AI219">
        <v>1</v>
      </c>
      <c r="AJ219">
        <v>1</v>
      </c>
      <c r="AK219">
        <v>1</v>
      </c>
      <c r="AL219">
        <v>6.71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6</v>
      </c>
      <c r="AT219">
        <v>65.94</v>
      </c>
      <c r="AU219" t="s">
        <v>6</v>
      </c>
      <c r="AV219">
        <v>1</v>
      </c>
      <c r="AW219">
        <v>2</v>
      </c>
      <c r="AX219">
        <v>16810632</v>
      </c>
      <c r="AY219">
        <v>1</v>
      </c>
      <c r="AZ219">
        <v>0</v>
      </c>
      <c r="BA219">
        <v>203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Y219*Source!I145</f>
        <v>6.0466980000000001</v>
      </c>
      <c r="CY219">
        <f>AD219</f>
        <v>58.65</v>
      </c>
      <c r="CZ219">
        <f>AH219</f>
        <v>8.74</v>
      </c>
      <c r="DA219">
        <f>AL219</f>
        <v>6.71</v>
      </c>
      <c r="DB219">
        <f t="shared" si="42"/>
        <v>576.32000000000005</v>
      </c>
      <c r="DC219">
        <f t="shared" si="43"/>
        <v>0</v>
      </c>
    </row>
    <row r="220" spans="1:107" x14ac:dyDescent="0.2">
      <c r="A220">
        <f>ROW(Source!A145)</f>
        <v>145</v>
      </c>
      <c r="B220">
        <v>16808636</v>
      </c>
      <c r="C220">
        <v>16810624</v>
      </c>
      <c r="D220">
        <v>15430395</v>
      </c>
      <c r="E220">
        <v>1</v>
      </c>
      <c r="F220">
        <v>1</v>
      </c>
      <c r="G220">
        <v>1</v>
      </c>
      <c r="H220">
        <v>1</v>
      </c>
      <c r="I220" t="s">
        <v>709</v>
      </c>
      <c r="J220" t="s">
        <v>6</v>
      </c>
      <c r="K220" t="s">
        <v>710</v>
      </c>
      <c r="L220">
        <v>1191</v>
      </c>
      <c r="N220">
        <v>1013</v>
      </c>
      <c r="O220" t="s">
        <v>708</v>
      </c>
      <c r="P220" t="s">
        <v>708</v>
      </c>
      <c r="Q220">
        <v>1</v>
      </c>
      <c r="W220">
        <v>0</v>
      </c>
      <c r="X220">
        <v>-1417349443</v>
      </c>
      <c r="Y220">
        <v>0.01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1</v>
      </c>
      <c r="AJ220">
        <v>1</v>
      </c>
      <c r="AK220">
        <v>6.71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6</v>
      </c>
      <c r="AT220">
        <v>0.01</v>
      </c>
      <c r="AU220" t="s">
        <v>6</v>
      </c>
      <c r="AV220">
        <v>2</v>
      </c>
      <c r="AW220">
        <v>2</v>
      </c>
      <c r="AX220">
        <v>16810633</v>
      </c>
      <c r="AY220">
        <v>1</v>
      </c>
      <c r="AZ220">
        <v>0</v>
      </c>
      <c r="BA220">
        <v>204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Y220*Source!I145</f>
        <v>9.1700000000000006E-4</v>
      </c>
      <c r="CY220">
        <f>AD220</f>
        <v>0</v>
      </c>
      <c r="CZ220">
        <f>AH220</f>
        <v>0</v>
      </c>
      <c r="DA220">
        <f>AL220</f>
        <v>1</v>
      </c>
      <c r="DB220">
        <f t="shared" si="42"/>
        <v>0</v>
      </c>
      <c r="DC220">
        <f t="shared" si="43"/>
        <v>0</v>
      </c>
    </row>
    <row r="221" spans="1:107" x14ac:dyDescent="0.2">
      <c r="A221">
        <f>ROW(Source!A145)</f>
        <v>145</v>
      </c>
      <c r="B221">
        <v>16808636</v>
      </c>
      <c r="C221">
        <v>16810624</v>
      </c>
      <c r="D221">
        <v>15249073</v>
      </c>
      <c r="E221">
        <v>1</v>
      </c>
      <c r="F221">
        <v>1</v>
      </c>
      <c r="G221">
        <v>1</v>
      </c>
      <c r="H221">
        <v>2</v>
      </c>
      <c r="I221" t="s">
        <v>724</v>
      </c>
      <c r="J221" t="s">
        <v>725</v>
      </c>
      <c r="K221" t="s">
        <v>726</v>
      </c>
      <c r="L221">
        <v>1368</v>
      </c>
      <c r="N221">
        <v>1011</v>
      </c>
      <c r="O221" t="s">
        <v>714</v>
      </c>
      <c r="P221" t="s">
        <v>714</v>
      </c>
      <c r="Q221">
        <v>1</v>
      </c>
      <c r="W221">
        <v>0</v>
      </c>
      <c r="X221">
        <v>1372534845</v>
      </c>
      <c r="Y221">
        <v>0.01</v>
      </c>
      <c r="AA221">
        <v>0</v>
      </c>
      <c r="AB221">
        <v>440.91</v>
      </c>
      <c r="AC221">
        <v>11.6</v>
      </c>
      <c r="AD221">
        <v>0</v>
      </c>
      <c r="AE221">
        <v>0</v>
      </c>
      <c r="AF221">
        <v>65.709999999999994</v>
      </c>
      <c r="AG221">
        <v>11.6</v>
      </c>
      <c r="AH221">
        <v>0</v>
      </c>
      <c r="AI221">
        <v>1</v>
      </c>
      <c r="AJ221">
        <v>6.71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6</v>
      </c>
      <c r="AT221">
        <v>0.01</v>
      </c>
      <c r="AU221" t="s">
        <v>6</v>
      </c>
      <c r="AV221">
        <v>0</v>
      </c>
      <c r="AW221">
        <v>2</v>
      </c>
      <c r="AX221">
        <v>16810634</v>
      </c>
      <c r="AY221">
        <v>1</v>
      </c>
      <c r="AZ221">
        <v>0</v>
      </c>
      <c r="BA221">
        <v>205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Y221*Source!I145</f>
        <v>9.1700000000000006E-4</v>
      </c>
      <c r="CY221">
        <f>AB221</f>
        <v>440.91</v>
      </c>
      <c r="CZ221">
        <f>AF221</f>
        <v>65.709999999999994</v>
      </c>
      <c r="DA221">
        <f>AJ221</f>
        <v>6.71</v>
      </c>
      <c r="DB221">
        <f t="shared" si="42"/>
        <v>0.66</v>
      </c>
      <c r="DC221">
        <f t="shared" si="43"/>
        <v>0.12</v>
      </c>
    </row>
    <row r="222" spans="1:107" x14ac:dyDescent="0.2">
      <c r="A222">
        <f>ROW(Source!A145)</f>
        <v>145</v>
      </c>
      <c r="B222">
        <v>16808636</v>
      </c>
      <c r="C222">
        <v>16810624</v>
      </c>
      <c r="D222">
        <v>15171018</v>
      </c>
      <c r="E222">
        <v>1</v>
      </c>
      <c r="F222">
        <v>1</v>
      </c>
      <c r="G222">
        <v>1</v>
      </c>
      <c r="H222">
        <v>3</v>
      </c>
      <c r="I222" t="s">
        <v>833</v>
      </c>
      <c r="J222" t="s">
        <v>834</v>
      </c>
      <c r="K222" t="s">
        <v>835</v>
      </c>
      <c r="L222">
        <v>1346</v>
      </c>
      <c r="N222">
        <v>1009</v>
      </c>
      <c r="O222" t="s">
        <v>300</v>
      </c>
      <c r="P222" t="s">
        <v>300</v>
      </c>
      <c r="Q222">
        <v>1</v>
      </c>
      <c r="W222">
        <v>0</v>
      </c>
      <c r="X222">
        <v>813963326</v>
      </c>
      <c r="Y222">
        <v>0.1</v>
      </c>
      <c r="AA222">
        <v>12.21</v>
      </c>
      <c r="AB222">
        <v>0</v>
      </c>
      <c r="AC222">
        <v>0</v>
      </c>
      <c r="AD222">
        <v>0</v>
      </c>
      <c r="AE222">
        <v>1.82</v>
      </c>
      <c r="AF222">
        <v>0</v>
      </c>
      <c r="AG222">
        <v>0</v>
      </c>
      <c r="AH222">
        <v>0</v>
      </c>
      <c r="AI222">
        <v>6.71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6</v>
      </c>
      <c r="AT222">
        <v>0.1</v>
      </c>
      <c r="AU222" t="s">
        <v>6</v>
      </c>
      <c r="AV222">
        <v>0</v>
      </c>
      <c r="AW222">
        <v>2</v>
      </c>
      <c r="AX222">
        <v>16810635</v>
      </c>
      <c r="AY222">
        <v>1</v>
      </c>
      <c r="AZ222">
        <v>0</v>
      </c>
      <c r="BA222">
        <v>206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Y222*Source!I145</f>
        <v>9.1700000000000011E-3</v>
      </c>
      <c r="CY222">
        <f>AA222</f>
        <v>12.21</v>
      </c>
      <c r="CZ222">
        <f>AE222</f>
        <v>1.82</v>
      </c>
      <c r="DA222">
        <f>AI222</f>
        <v>6.71</v>
      </c>
      <c r="DB222">
        <f t="shared" si="42"/>
        <v>0.18</v>
      </c>
      <c r="DC222">
        <f t="shared" si="43"/>
        <v>0</v>
      </c>
    </row>
    <row r="223" spans="1:107" x14ac:dyDescent="0.2">
      <c r="A223">
        <f>ROW(Source!A145)</f>
        <v>145</v>
      </c>
      <c r="B223">
        <v>16808636</v>
      </c>
      <c r="C223">
        <v>16810624</v>
      </c>
      <c r="D223">
        <v>15163068</v>
      </c>
      <c r="E223">
        <v>17</v>
      </c>
      <c r="F223">
        <v>1</v>
      </c>
      <c r="G223">
        <v>1</v>
      </c>
      <c r="H223">
        <v>3</v>
      </c>
      <c r="I223" t="s">
        <v>413</v>
      </c>
      <c r="J223" t="s">
        <v>6</v>
      </c>
      <c r="K223" t="s">
        <v>414</v>
      </c>
      <c r="L223">
        <v>1348</v>
      </c>
      <c r="N223">
        <v>1009</v>
      </c>
      <c r="O223" t="s">
        <v>104</v>
      </c>
      <c r="P223" t="s">
        <v>104</v>
      </c>
      <c r="Q223">
        <v>1000</v>
      </c>
      <c r="W223">
        <v>0</v>
      </c>
      <c r="X223">
        <v>84301199</v>
      </c>
      <c r="Y223">
        <v>1.61E-2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6.71</v>
      </c>
      <c r="AJ223">
        <v>1</v>
      </c>
      <c r="AK223">
        <v>1</v>
      </c>
      <c r="AL223">
        <v>1</v>
      </c>
      <c r="AN223">
        <v>0</v>
      </c>
      <c r="AO223">
        <v>0</v>
      </c>
      <c r="AP223">
        <v>0</v>
      </c>
      <c r="AQ223">
        <v>0</v>
      </c>
      <c r="AR223">
        <v>0</v>
      </c>
      <c r="AS223" t="s">
        <v>6</v>
      </c>
      <c r="AT223">
        <v>1.61E-2</v>
      </c>
      <c r="AU223" t="s">
        <v>6</v>
      </c>
      <c r="AV223">
        <v>0</v>
      </c>
      <c r="AW223">
        <v>2</v>
      </c>
      <c r="AX223">
        <v>16810636</v>
      </c>
      <c r="AY223">
        <v>1</v>
      </c>
      <c r="AZ223">
        <v>0</v>
      </c>
      <c r="BA223">
        <v>207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Y223*Source!I145</f>
        <v>1.4763700000000001E-3</v>
      </c>
      <c r="CY223">
        <f>AA223</f>
        <v>0</v>
      </c>
      <c r="CZ223">
        <f>AE223</f>
        <v>0</v>
      </c>
      <c r="DA223">
        <f>AI223</f>
        <v>6.71</v>
      </c>
      <c r="DB223">
        <f t="shared" si="42"/>
        <v>0</v>
      </c>
      <c r="DC223">
        <f t="shared" si="43"/>
        <v>0</v>
      </c>
    </row>
    <row r="224" spans="1:107" x14ac:dyDescent="0.2">
      <c r="A224">
        <f>ROW(Source!A145)</f>
        <v>145</v>
      </c>
      <c r="B224">
        <v>16808636</v>
      </c>
      <c r="C224">
        <v>16810624</v>
      </c>
      <c r="D224">
        <v>15203725</v>
      </c>
      <c r="E224">
        <v>1</v>
      </c>
      <c r="F224">
        <v>1</v>
      </c>
      <c r="G224">
        <v>1</v>
      </c>
      <c r="H224">
        <v>3</v>
      </c>
      <c r="I224" t="s">
        <v>416</v>
      </c>
      <c r="J224" t="s">
        <v>418</v>
      </c>
      <c r="K224" t="s">
        <v>417</v>
      </c>
      <c r="L224">
        <v>1348</v>
      </c>
      <c r="N224">
        <v>1009</v>
      </c>
      <c r="O224" t="s">
        <v>104</v>
      </c>
      <c r="P224" t="s">
        <v>104</v>
      </c>
      <c r="Q224">
        <v>1000</v>
      </c>
      <c r="W224">
        <v>0</v>
      </c>
      <c r="X224">
        <v>-777870615</v>
      </c>
      <c r="Y224">
        <v>1.6095999999999999E-2</v>
      </c>
      <c r="AA224">
        <v>285229.95</v>
      </c>
      <c r="AB224">
        <v>0</v>
      </c>
      <c r="AC224">
        <v>0</v>
      </c>
      <c r="AD224">
        <v>0</v>
      </c>
      <c r="AE224">
        <v>42508.19</v>
      </c>
      <c r="AF224">
        <v>0</v>
      </c>
      <c r="AG224">
        <v>0</v>
      </c>
      <c r="AH224">
        <v>0</v>
      </c>
      <c r="AI224">
        <v>6.71</v>
      </c>
      <c r="AJ224">
        <v>1</v>
      </c>
      <c r="AK224">
        <v>1</v>
      </c>
      <c r="AL224">
        <v>1</v>
      </c>
      <c r="AN224">
        <v>0</v>
      </c>
      <c r="AO224">
        <v>0</v>
      </c>
      <c r="AP224">
        <v>0</v>
      </c>
      <c r="AQ224">
        <v>0</v>
      </c>
      <c r="AR224">
        <v>0</v>
      </c>
      <c r="AS224" t="s">
        <v>6</v>
      </c>
      <c r="AT224">
        <v>1.6095999999999999E-2</v>
      </c>
      <c r="AU224" t="s">
        <v>6</v>
      </c>
      <c r="AV224">
        <v>0</v>
      </c>
      <c r="AW224">
        <v>1</v>
      </c>
      <c r="AX224">
        <v>-1</v>
      </c>
      <c r="AY224">
        <v>0</v>
      </c>
      <c r="AZ224">
        <v>0</v>
      </c>
      <c r="BA224" t="s">
        <v>6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Y224*Source!I145</f>
        <v>1.4760031999999999E-3</v>
      </c>
      <c r="CY224">
        <f>AA224</f>
        <v>285229.95</v>
      </c>
      <c r="CZ224">
        <f>AE224</f>
        <v>42508.19</v>
      </c>
      <c r="DA224">
        <f>AI224</f>
        <v>6.71</v>
      </c>
      <c r="DB224">
        <f t="shared" si="42"/>
        <v>684.21</v>
      </c>
      <c r="DC224">
        <f t="shared" si="43"/>
        <v>0</v>
      </c>
    </row>
    <row r="225" spans="1:107" x14ac:dyDescent="0.2">
      <c r="A225">
        <f>ROW(Source!A145)</f>
        <v>145</v>
      </c>
      <c r="B225">
        <v>16808636</v>
      </c>
      <c r="C225">
        <v>16810624</v>
      </c>
      <c r="D225">
        <v>15204468</v>
      </c>
      <c r="E225">
        <v>1</v>
      </c>
      <c r="F225">
        <v>1</v>
      </c>
      <c r="G225">
        <v>1</v>
      </c>
      <c r="H225">
        <v>3</v>
      </c>
      <c r="I225" t="s">
        <v>912</v>
      </c>
      <c r="J225" t="s">
        <v>913</v>
      </c>
      <c r="K225" t="s">
        <v>914</v>
      </c>
      <c r="L225">
        <v>1348</v>
      </c>
      <c r="N225">
        <v>1009</v>
      </c>
      <c r="O225" t="s">
        <v>104</v>
      </c>
      <c r="P225" t="s">
        <v>104</v>
      </c>
      <c r="Q225">
        <v>1000</v>
      </c>
      <c r="W225">
        <v>0</v>
      </c>
      <c r="X225">
        <v>-909021926</v>
      </c>
      <c r="Y225">
        <v>8.9999999999999993E-3</v>
      </c>
      <c r="AA225">
        <v>113734.5</v>
      </c>
      <c r="AB225">
        <v>0</v>
      </c>
      <c r="AC225">
        <v>0</v>
      </c>
      <c r="AD225">
        <v>0</v>
      </c>
      <c r="AE225">
        <v>16950</v>
      </c>
      <c r="AF225">
        <v>0</v>
      </c>
      <c r="AG225">
        <v>0</v>
      </c>
      <c r="AH225">
        <v>0</v>
      </c>
      <c r="AI225">
        <v>6.71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6</v>
      </c>
      <c r="AT225">
        <v>8.9999999999999993E-3</v>
      </c>
      <c r="AU225" t="s">
        <v>6</v>
      </c>
      <c r="AV225">
        <v>0</v>
      </c>
      <c r="AW225">
        <v>2</v>
      </c>
      <c r="AX225">
        <v>16810637</v>
      </c>
      <c r="AY225">
        <v>1</v>
      </c>
      <c r="AZ225">
        <v>0</v>
      </c>
      <c r="BA225">
        <v>208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Y225*Source!I145</f>
        <v>8.2529999999999995E-4</v>
      </c>
      <c r="CY225">
        <f>AA225</f>
        <v>113734.5</v>
      </c>
      <c r="CZ225">
        <f>AE225</f>
        <v>16950</v>
      </c>
      <c r="DA225">
        <f>AI225</f>
        <v>6.71</v>
      </c>
      <c r="DB225">
        <f t="shared" si="42"/>
        <v>152.55000000000001</v>
      </c>
      <c r="DC225">
        <f t="shared" si="43"/>
        <v>0</v>
      </c>
    </row>
    <row r="226" spans="1:107" x14ac:dyDescent="0.2">
      <c r="A226">
        <f>ROW(Source!A148)</f>
        <v>148</v>
      </c>
      <c r="B226">
        <v>16808636</v>
      </c>
      <c r="C226">
        <v>16810640</v>
      </c>
      <c r="D226">
        <v>15430447</v>
      </c>
      <c r="E226">
        <v>1</v>
      </c>
      <c r="F226">
        <v>1</v>
      </c>
      <c r="G226">
        <v>1</v>
      </c>
      <c r="H226">
        <v>1</v>
      </c>
      <c r="I226" t="s">
        <v>765</v>
      </c>
      <c r="J226" t="s">
        <v>6</v>
      </c>
      <c r="K226" t="s">
        <v>766</v>
      </c>
      <c r="L226">
        <v>1191</v>
      </c>
      <c r="N226">
        <v>1013</v>
      </c>
      <c r="O226" t="s">
        <v>708</v>
      </c>
      <c r="P226" t="s">
        <v>708</v>
      </c>
      <c r="Q226">
        <v>1</v>
      </c>
      <c r="W226">
        <v>0</v>
      </c>
      <c r="X226">
        <v>145020957</v>
      </c>
      <c r="Y226">
        <v>5.2853999999999992</v>
      </c>
      <c r="AA226">
        <v>0</v>
      </c>
      <c r="AB226">
        <v>0</v>
      </c>
      <c r="AC226">
        <v>0</v>
      </c>
      <c r="AD226">
        <v>60.86</v>
      </c>
      <c r="AE226">
        <v>0</v>
      </c>
      <c r="AF226">
        <v>0</v>
      </c>
      <c r="AG226">
        <v>0</v>
      </c>
      <c r="AH226">
        <v>9.07</v>
      </c>
      <c r="AI226">
        <v>1</v>
      </c>
      <c r="AJ226">
        <v>1</v>
      </c>
      <c r="AK226">
        <v>1</v>
      </c>
      <c r="AL226">
        <v>6.71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6</v>
      </c>
      <c r="AT226">
        <v>3.83</v>
      </c>
      <c r="AU226" t="s">
        <v>175</v>
      </c>
      <c r="AV226">
        <v>1</v>
      </c>
      <c r="AW226">
        <v>2</v>
      </c>
      <c r="AX226">
        <v>16810649</v>
      </c>
      <c r="AY226">
        <v>1</v>
      </c>
      <c r="AZ226">
        <v>0</v>
      </c>
      <c r="BA226">
        <v>209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Y226*Source!I148</f>
        <v>1.5856199999999998</v>
      </c>
      <c r="CY226">
        <f>AD226</f>
        <v>60.86</v>
      </c>
      <c r="CZ226">
        <f>AH226</f>
        <v>9.07</v>
      </c>
      <c r="DA226">
        <f>AL226</f>
        <v>6.71</v>
      </c>
      <c r="DB226">
        <f>ROUND(((ROUND(AT226*CZ226,2)*1.15)*1.2),2)</f>
        <v>47.94</v>
      </c>
      <c r="DC226">
        <f>ROUND(((ROUND(AT226*AG226,2)*1.15)*1.2),2)</f>
        <v>0</v>
      </c>
    </row>
    <row r="227" spans="1:107" x14ac:dyDescent="0.2">
      <c r="A227">
        <f>ROW(Source!A148)</f>
        <v>148</v>
      </c>
      <c r="B227">
        <v>16808636</v>
      </c>
      <c r="C227">
        <v>16810640</v>
      </c>
      <c r="D227">
        <v>15430395</v>
      </c>
      <c r="E227">
        <v>1</v>
      </c>
      <c r="F227">
        <v>1</v>
      </c>
      <c r="G227">
        <v>1</v>
      </c>
      <c r="H227">
        <v>1</v>
      </c>
      <c r="I227" t="s">
        <v>709</v>
      </c>
      <c r="J227" t="s">
        <v>6</v>
      </c>
      <c r="K227" t="s">
        <v>710</v>
      </c>
      <c r="L227">
        <v>1191</v>
      </c>
      <c r="N227">
        <v>1013</v>
      </c>
      <c r="O227" t="s">
        <v>708</v>
      </c>
      <c r="P227" t="s">
        <v>708</v>
      </c>
      <c r="Q227">
        <v>1</v>
      </c>
      <c r="W227">
        <v>0</v>
      </c>
      <c r="X227">
        <v>-1417349443</v>
      </c>
      <c r="Y227">
        <v>0.02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1</v>
      </c>
      <c r="AJ227">
        <v>1</v>
      </c>
      <c r="AK227">
        <v>6.71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6</v>
      </c>
      <c r="AT227">
        <v>0.02</v>
      </c>
      <c r="AU227" t="s">
        <v>6</v>
      </c>
      <c r="AV227">
        <v>2</v>
      </c>
      <c r="AW227">
        <v>2</v>
      </c>
      <c r="AX227">
        <v>16810650</v>
      </c>
      <c r="AY227">
        <v>1</v>
      </c>
      <c r="AZ227">
        <v>2048</v>
      </c>
      <c r="BA227">
        <v>210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Y227*Source!I148</f>
        <v>6.0000000000000001E-3</v>
      </c>
      <c r="CY227">
        <f>AD227</f>
        <v>0</v>
      </c>
      <c r="CZ227">
        <f>AH227</f>
        <v>0</v>
      </c>
      <c r="DA227">
        <f>AL227</f>
        <v>1</v>
      </c>
      <c r="DB227">
        <f>ROUND(ROUND(AT227*CZ227,2),2)</f>
        <v>0</v>
      </c>
      <c r="DC227">
        <f>ROUND(ROUND(AT227*AG227,2),2)</f>
        <v>0</v>
      </c>
    </row>
    <row r="228" spans="1:107" x14ac:dyDescent="0.2">
      <c r="A228">
        <f>ROW(Source!A148)</f>
        <v>148</v>
      </c>
      <c r="B228">
        <v>16808636</v>
      </c>
      <c r="C228">
        <v>16810640</v>
      </c>
      <c r="D228">
        <v>15247878</v>
      </c>
      <c r="E228">
        <v>1</v>
      </c>
      <c r="F228">
        <v>1</v>
      </c>
      <c r="G228">
        <v>1</v>
      </c>
      <c r="H228">
        <v>2</v>
      </c>
      <c r="I228" t="s">
        <v>915</v>
      </c>
      <c r="J228" t="s">
        <v>916</v>
      </c>
      <c r="K228" t="s">
        <v>917</v>
      </c>
      <c r="L228">
        <v>1368</v>
      </c>
      <c r="N228">
        <v>1011</v>
      </c>
      <c r="O228" t="s">
        <v>714</v>
      </c>
      <c r="P228" t="s">
        <v>714</v>
      </c>
      <c r="Q228">
        <v>1</v>
      </c>
      <c r="W228">
        <v>0</v>
      </c>
      <c r="X228">
        <v>1047452784</v>
      </c>
      <c r="Y228">
        <v>1.4999999999999999E-2</v>
      </c>
      <c r="AA228">
        <v>0</v>
      </c>
      <c r="AB228">
        <v>11.41</v>
      </c>
      <c r="AC228">
        <v>0</v>
      </c>
      <c r="AD228">
        <v>0</v>
      </c>
      <c r="AE228">
        <v>0</v>
      </c>
      <c r="AF228">
        <v>1.7</v>
      </c>
      <c r="AG228">
        <v>0</v>
      </c>
      <c r="AH228">
        <v>0</v>
      </c>
      <c r="AI228">
        <v>1</v>
      </c>
      <c r="AJ228">
        <v>6.71</v>
      </c>
      <c r="AK228">
        <v>1</v>
      </c>
      <c r="AL228">
        <v>1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6</v>
      </c>
      <c r="AT228">
        <v>0.01</v>
      </c>
      <c r="AU228" t="s">
        <v>174</v>
      </c>
      <c r="AV228">
        <v>0</v>
      </c>
      <c r="AW228">
        <v>2</v>
      </c>
      <c r="AX228">
        <v>16810651</v>
      </c>
      <c r="AY228">
        <v>1</v>
      </c>
      <c r="AZ228">
        <v>0</v>
      </c>
      <c r="BA228">
        <v>211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Y228*Source!I148</f>
        <v>4.4999999999999997E-3</v>
      </c>
      <c r="CY228">
        <f>AB228</f>
        <v>11.41</v>
      </c>
      <c r="CZ228">
        <f>AF228</f>
        <v>1.7</v>
      </c>
      <c r="DA228">
        <f>AJ228</f>
        <v>6.71</v>
      </c>
      <c r="DB228">
        <f>ROUND(((ROUND(AT228*CZ228,2)*1.25)*1.2),2)</f>
        <v>0.03</v>
      </c>
      <c r="DC228">
        <f>ROUND(((ROUND(AT228*AG228,2)*1.25)*1.2),2)</f>
        <v>0</v>
      </c>
    </row>
    <row r="229" spans="1:107" x14ac:dyDescent="0.2">
      <c r="A229">
        <f>ROW(Source!A148)</f>
        <v>148</v>
      </c>
      <c r="B229">
        <v>16808636</v>
      </c>
      <c r="C229">
        <v>16810640</v>
      </c>
      <c r="D229">
        <v>15247905</v>
      </c>
      <c r="E229">
        <v>1</v>
      </c>
      <c r="F229">
        <v>1</v>
      </c>
      <c r="G229">
        <v>1</v>
      </c>
      <c r="H229">
        <v>2</v>
      </c>
      <c r="I229" t="s">
        <v>870</v>
      </c>
      <c r="J229" t="s">
        <v>871</v>
      </c>
      <c r="K229" t="s">
        <v>872</v>
      </c>
      <c r="L229">
        <v>1368</v>
      </c>
      <c r="N229">
        <v>1011</v>
      </c>
      <c r="O229" t="s">
        <v>714</v>
      </c>
      <c r="P229" t="s">
        <v>714</v>
      </c>
      <c r="Q229">
        <v>1</v>
      </c>
      <c r="W229">
        <v>0</v>
      </c>
      <c r="X229">
        <v>-665367104</v>
      </c>
      <c r="Y229">
        <v>1.4999999999999999E-2</v>
      </c>
      <c r="AA229">
        <v>0</v>
      </c>
      <c r="AB229">
        <v>603.83000000000004</v>
      </c>
      <c r="AC229">
        <v>10.06</v>
      </c>
      <c r="AD229">
        <v>0</v>
      </c>
      <c r="AE229">
        <v>0</v>
      </c>
      <c r="AF229">
        <v>89.99</v>
      </c>
      <c r="AG229">
        <v>10.06</v>
      </c>
      <c r="AH229">
        <v>0</v>
      </c>
      <c r="AI229">
        <v>1</v>
      </c>
      <c r="AJ229">
        <v>6.71</v>
      </c>
      <c r="AK229">
        <v>1</v>
      </c>
      <c r="AL229">
        <v>1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6</v>
      </c>
      <c r="AT229">
        <v>0.01</v>
      </c>
      <c r="AU229" t="s">
        <v>174</v>
      </c>
      <c r="AV229">
        <v>0</v>
      </c>
      <c r="AW229">
        <v>2</v>
      </c>
      <c r="AX229">
        <v>16810652</v>
      </c>
      <c r="AY229">
        <v>1</v>
      </c>
      <c r="AZ229">
        <v>0</v>
      </c>
      <c r="BA229">
        <v>212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Y229*Source!I148</f>
        <v>4.4999999999999997E-3</v>
      </c>
      <c r="CY229">
        <f>AB229</f>
        <v>603.83000000000004</v>
      </c>
      <c r="CZ229">
        <f>AF229</f>
        <v>89.99</v>
      </c>
      <c r="DA229">
        <f>AJ229</f>
        <v>6.71</v>
      </c>
      <c r="DB229">
        <f>ROUND(((ROUND(AT229*CZ229,2)*1.25)*1.2),2)</f>
        <v>1.35</v>
      </c>
      <c r="DC229">
        <f>ROUND(((ROUND(AT229*AG229,2)*1.25)*1.2),2)</f>
        <v>0.15</v>
      </c>
    </row>
    <row r="230" spans="1:107" x14ac:dyDescent="0.2">
      <c r="A230">
        <f>ROW(Source!A148)</f>
        <v>148</v>
      </c>
      <c r="B230">
        <v>16808636</v>
      </c>
      <c r="C230">
        <v>16810640</v>
      </c>
      <c r="D230">
        <v>15249073</v>
      </c>
      <c r="E230">
        <v>1</v>
      </c>
      <c r="F230">
        <v>1</v>
      </c>
      <c r="G230">
        <v>1</v>
      </c>
      <c r="H230">
        <v>2</v>
      </c>
      <c r="I230" t="s">
        <v>724</v>
      </c>
      <c r="J230" t="s">
        <v>725</v>
      </c>
      <c r="K230" t="s">
        <v>726</v>
      </c>
      <c r="L230">
        <v>1368</v>
      </c>
      <c r="N230">
        <v>1011</v>
      </c>
      <c r="O230" t="s">
        <v>714</v>
      </c>
      <c r="P230" t="s">
        <v>714</v>
      </c>
      <c r="Q230">
        <v>1</v>
      </c>
      <c r="W230">
        <v>0</v>
      </c>
      <c r="X230">
        <v>1372534845</v>
      </c>
      <c r="Y230">
        <v>1.4999999999999999E-2</v>
      </c>
      <c r="AA230">
        <v>0</v>
      </c>
      <c r="AB230">
        <v>440.91</v>
      </c>
      <c r="AC230">
        <v>11.6</v>
      </c>
      <c r="AD230">
        <v>0</v>
      </c>
      <c r="AE230">
        <v>0</v>
      </c>
      <c r="AF230">
        <v>65.709999999999994</v>
      </c>
      <c r="AG230">
        <v>11.6</v>
      </c>
      <c r="AH230">
        <v>0</v>
      </c>
      <c r="AI230">
        <v>1</v>
      </c>
      <c r="AJ230">
        <v>6.71</v>
      </c>
      <c r="AK230">
        <v>1</v>
      </c>
      <c r="AL230">
        <v>1</v>
      </c>
      <c r="AN230">
        <v>0</v>
      </c>
      <c r="AO230">
        <v>1</v>
      </c>
      <c r="AP230">
        <v>1</v>
      </c>
      <c r="AQ230">
        <v>0</v>
      </c>
      <c r="AR230">
        <v>0</v>
      </c>
      <c r="AS230" t="s">
        <v>6</v>
      </c>
      <c r="AT230">
        <v>0.01</v>
      </c>
      <c r="AU230" t="s">
        <v>174</v>
      </c>
      <c r="AV230">
        <v>0</v>
      </c>
      <c r="AW230">
        <v>2</v>
      </c>
      <c r="AX230">
        <v>16810653</v>
      </c>
      <c r="AY230">
        <v>1</v>
      </c>
      <c r="AZ230">
        <v>0</v>
      </c>
      <c r="BA230">
        <v>213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Y230*Source!I148</f>
        <v>4.4999999999999997E-3</v>
      </c>
      <c r="CY230">
        <f>AB230</f>
        <v>440.91</v>
      </c>
      <c r="CZ230">
        <f>AF230</f>
        <v>65.709999999999994</v>
      </c>
      <c r="DA230">
        <f>AJ230</f>
        <v>6.71</v>
      </c>
      <c r="DB230">
        <f>ROUND(((ROUND(AT230*CZ230,2)*1.25)*1.2),2)</f>
        <v>0.99</v>
      </c>
      <c r="DC230">
        <f>ROUND(((ROUND(AT230*AG230,2)*1.25)*1.2),2)</f>
        <v>0.18</v>
      </c>
    </row>
    <row r="231" spans="1:107" x14ac:dyDescent="0.2">
      <c r="A231">
        <f>ROW(Source!A148)</f>
        <v>148</v>
      </c>
      <c r="B231">
        <v>16808636</v>
      </c>
      <c r="C231">
        <v>16810640</v>
      </c>
      <c r="D231">
        <v>15249933</v>
      </c>
      <c r="E231">
        <v>1</v>
      </c>
      <c r="F231">
        <v>1</v>
      </c>
      <c r="G231">
        <v>1</v>
      </c>
      <c r="H231">
        <v>2</v>
      </c>
      <c r="I231" t="s">
        <v>918</v>
      </c>
      <c r="J231" t="s">
        <v>919</v>
      </c>
      <c r="K231" t="s">
        <v>920</v>
      </c>
      <c r="L231">
        <v>1368</v>
      </c>
      <c r="N231">
        <v>1011</v>
      </c>
      <c r="O231" t="s">
        <v>714</v>
      </c>
      <c r="P231" t="s">
        <v>714</v>
      </c>
      <c r="Q231">
        <v>1</v>
      </c>
      <c r="W231">
        <v>0</v>
      </c>
      <c r="X231">
        <v>271748449</v>
      </c>
      <c r="Y231">
        <v>0.97499999999999998</v>
      </c>
      <c r="AA231">
        <v>0</v>
      </c>
      <c r="AB231">
        <v>45.76</v>
      </c>
      <c r="AC231">
        <v>0</v>
      </c>
      <c r="AD231">
        <v>0</v>
      </c>
      <c r="AE231">
        <v>0</v>
      </c>
      <c r="AF231">
        <v>6.82</v>
      </c>
      <c r="AG231">
        <v>0</v>
      </c>
      <c r="AH231">
        <v>0</v>
      </c>
      <c r="AI231">
        <v>1</v>
      </c>
      <c r="AJ231">
        <v>6.71</v>
      </c>
      <c r="AK231">
        <v>1</v>
      </c>
      <c r="AL231">
        <v>1</v>
      </c>
      <c r="AN231">
        <v>0</v>
      </c>
      <c r="AO231">
        <v>1</v>
      </c>
      <c r="AP231">
        <v>1</v>
      </c>
      <c r="AQ231">
        <v>0</v>
      </c>
      <c r="AR231">
        <v>0</v>
      </c>
      <c r="AS231" t="s">
        <v>6</v>
      </c>
      <c r="AT231">
        <v>0.65</v>
      </c>
      <c r="AU231" t="s">
        <v>174</v>
      </c>
      <c r="AV231">
        <v>0</v>
      </c>
      <c r="AW231">
        <v>2</v>
      </c>
      <c r="AX231">
        <v>16810654</v>
      </c>
      <c r="AY231">
        <v>1</v>
      </c>
      <c r="AZ231">
        <v>0</v>
      </c>
      <c r="BA231">
        <v>214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Y231*Source!I148</f>
        <v>0.29249999999999998</v>
      </c>
      <c r="CY231">
        <f>AB231</f>
        <v>45.76</v>
      </c>
      <c r="CZ231">
        <f>AF231</f>
        <v>6.82</v>
      </c>
      <c r="DA231">
        <f>AJ231</f>
        <v>6.71</v>
      </c>
      <c r="DB231">
        <f>ROUND(((ROUND(AT231*CZ231,2)*1.25)*1.2),2)</f>
        <v>6.65</v>
      </c>
      <c r="DC231">
        <f>ROUND(((ROUND(AT231*AG231,2)*1.25)*1.2),2)</f>
        <v>0</v>
      </c>
    </row>
    <row r="232" spans="1:107" x14ac:dyDescent="0.2">
      <c r="A232">
        <f>ROW(Source!A148)</f>
        <v>148</v>
      </c>
      <c r="B232">
        <v>16808636</v>
      </c>
      <c r="C232">
        <v>16810640</v>
      </c>
      <c r="D232">
        <v>15204063</v>
      </c>
      <c r="E232">
        <v>1</v>
      </c>
      <c r="F232">
        <v>1</v>
      </c>
      <c r="G232">
        <v>1</v>
      </c>
      <c r="H232">
        <v>3</v>
      </c>
      <c r="I232" t="s">
        <v>921</v>
      </c>
      <c r="J232" t="s">
        <v>922</v>
      </c>
      <c r="K232" t="s">
        <v>923</v>
      </c>
      <c r="L232">
        <v>1348</v>
      </c>
      <c r="N232">
        <v>1009</v>
      </c>
      <c r="O232" t="s">
        <v>104</v>
      </c>
      <c r="P232" t="s">
        <v>104</v>
      </c>
      <c r="Q232">
        <v>1000</v>
      </c>
      <c r="W232">
        <v>0</v>
      </c>
      <c r="X232">
        <v>314961973</v>
      </c>
      <c r="Y232">
        <v>1.9E-2</v>
      </c>
      <c r="AA232">
        <v>96039.360000000001</v>
      </c>
      <c r="AB232">
        <v>0</v>
      </c>
      <c r="AC232">
        <v>0</v>
      </c>
      <c r="AD232">
        <v>0</v>
      </c>
      <c r="AE232">
        <v>14312.87</v>
      </c>
      <c r="AF232">
        <v>0</v>
      </c>
      <c r="AG232">
        <v>0</v>
      </c>
      <c r="AH232">
        <v>0</v>
      </c>
      <c r="AI232">
        <v>6.71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6</v>
      </c>
      <c r="AT232">
        <v>1.9E-2</v>
      </c>
      <c r="AU232" t="s">
        <v>6</v>
      </c>
      <c r="AV232">
        <v>0</v>
      </c>
      <c r="AW232">
        <v>2</v>
      </c>
      <c r="AX232">
        <v>16810655</v>
      </c>
      <c r="AY232">
        <v>1</v>
      </c>
      <c r="AZ232">
        <v>0</v>
      </c>
      <c r="BA232">
        <v>215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Y232*Source!I148</f>
        <v>5.6999999999999993E-3</v>
      </c>
      <c r="CY232">
        <f>AA232</f>
        <v>96039.360000000001</v>
      </c>
      <c r="CZ232">
        <f>AE232</f>
        <v>14312.87</v>
      </c>
      <c r="DA232">
        <f>AI232</f>
        <v>6.71</v>
      </c>
      <c r="DB232">
        <f>ROUND(ROUND(AT232*CZ232,2),2)</f>
        <v>271.94</v>
      </c>
      <c r="DC232">
        <f>ROUND(ROUND(AT232*AG232,2),2)</f>
        <v>0</v>
      </c>
    </row>
    <row r="233" spans="1:107" x14ac:dyDescent="0.2">
      <c r="A233">
        <f>ROW(Source!A148)</f>
        <v>148</v>
      </c>
      <c r="B233">
        <v>16808636</v>
      </c>
      <c r="C233">
        <v>16810640</v>
      </c>
      <c r="D233">
        <v>15204703</v>
      </c>
      <c r="E233">
        <v>1</v>
      </c>
      <c r="F233">
        <v>1</v>
      </c>
      <c r="G233">
        <v>1</v>
      </c>
      <c r="H233">
        <v>3</v>
      </c>
      <c r="I233" t="s">
        <v>924</v>
      </c>
      <c r="J233" t="s">
        <v>925</v>
      </c>
      <c r="K233" t="s">
        <v>926</v>
      </c>
      <c r="L233">
        <v>1348</v>
      </c>
      <c r="N233">
        <v>1009</v>
      </c>
      <c r="O233" t="s">
        <v>104</v>
      </c>
      <c r="P233" t="s">
        <v>104</v>
      </c>
      <c r="Q233">
        <v>1000</v>
      </c>
      <c r="W233">
        <v>0</v>
      </c>
      <c r="X233">
        <v>-2124557522</v>
      </c>
      <c r="Y233">
        <v>1.4E-3</v>
      </c>
      <c r="AA233">
        <v>44735.57</v>
      </c>
      <c r="AB233">
        <v>0</v>
      </c>
      <c r="AC233">
        <v>0</v>
      </c>
      <c r="AD233">
        <v>0</v>
      </c>
      <c r="AE233">
        <v>6667</v>
      </c>
      <c r="AF233">
        <v>0</v>
      </c>
      <c r="AG233">
        <v>0</v>
      </c>
      <c r="AH233">
        <v>0</v>
      </c>
      <c r="AI233">
        <v>6.71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6</v>
      </c>
      <c r="AT233">
        <v>1.4E-3</v>
      </c>
      <c r="AU233" t="s">
        <v>6</v>
      </c>
      <c r="AV233">
        <v>0</v>
      </c>
      <c r="AW233">
        <v>2</v>
      </c>
      <c r="AX233">
        <v>16810656</v>
      </c>
      <c r="AY233">
        <v>1</v>
      </c>
      <c r="AZ233">
        <v>0</v>
      </c>
      <c r="BA233">
        <v>216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Y233*Source!I148</f>
        <v>4.1999999999999996E-4</v>
      </c>
      <c r="CY233">
        <f>AA233</f>
        <v>44735.57</v>
      </c>
      <c r="CZ233">
        <f>AE233</f>
        <v>6667</v>
      </c>
      <c r="DA233">
        <f>AI233</f>
        <v>6.71</v>
      </c>
      <c r="DB233">
        <f>ROUND(ROUND(AT233*CZ233,2),2)</f>
        <v>9.33</v>
      </c>
      <c r="DC233">
        <f>ROUND(ROUND(AT233*AG233,2),2)</f>
        <v>0</v>
      </c>
    </row>
    <row r="234" spans="1:107" x14ac:dyDescent="0.2">
      <c r="A234">
        <f>ROW(Source!A185)</f>
        <v>185</v>
      </c>
      <c r="B234">
        <v>16808636</v>
      </c>
      <c r="C234">
        <v>16808866</v>
      </c>
      <c r="D234">
        <v>15430447</v>
      </c>
      <c r="E234">
        <v>1</v>
      </c>
      <c r="F234">
        <v>1</v>
      </c>
      <c r="G234">
        <v>1</v>
      </c>
      <c r="H234">
        <v>1</v>
      </c>
      <c r="I234" t="s">
        <v>765</v>
      </c>
      <c r="J234" t="s">
        <v>6</v>
      </c>
      <c r="K234" t="s">
        <v>766</v>
      </c>
      <c r="L234">
        <v>1191</v>
      </c>
      <c r="N234">
        <v>1013</v>
      </c>
      <c r="O234" t="s">
        <v>708</v>
      </c>
      <c r="P234" t="s">
        <v>708</v>
      </c>
      <c r="Q234">
        <v>1</v>
      </c>
      <c r="W234">
        <v>0</v>
      </c>
      <c r="X234">
        <v>145020957</v>
      </c>
      <c r="Y234">
        <v>2.4</v>
      </c>
      <c r="AA234">
        <v>0</v>
      </c>
      <c r="AB234">
        <v>0</v>
      </c>
      <c r="AC234">
        <v>0</v>
      </c>
      <c r="AD234">
        <v>60.86</v>
      </c>
      <c r="AE234">
        <v>0</v>
      </c>
      <c r="AF234">
        <v>0</v>
      </c>
      <c r="AG234">
        <v>0</v>
      </c>
      <c r="AH234">
        <v>9.07</v>
      </c>
      <c r="AI234">
        <v>1</v>
      </c>
      <c r="AJ234">
        <v>1</v>
      </c>
      <c r="AK234">
        <v>1</v>
      </c>
      <c r="AL234">
        <v>6.71</v>
      </c>
      <c r="AN234">
        <v>0</v>
      </c>
      <c r="AO234">
        <v>1</v>
      </c>
      <c r="AP234">
        <v>1</v>
      </c>
      <c r="AQ234">
        <v>0</v>
      </c>
      <c r="AR234">
        <v>0</v>
      </c>
      <c r="AS234" t="s">
        <v>6</v>
      </c>
      <c r="AT234">
        <v>2</v>
      </c>
      <c r="AU234" t="s">
        <v>443</v>
      </c>
      <c r="AV234">
        <v>1</v>
      </c>
      <c r="AW234">
        <v>2</v>
      </c>
      <c r="AX234">
        <v>16808872</v>
      </c>
      <c r="AY234">
        <v>1</v>
      </c>
      <c r="AZ234">
        <v>0</v>
      </c>
      <c r="BA234">
        <v>217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Y234*Source!I185</f>
        <v>14.399999999999999</v>
      </c>
      <c r="CY234">
        <f>AD234</f>
        <v>60.86</v>
      </c>
      <c r="CZ234">
        <f>AH234</f>
        <v>9.07</v>
      </c>
      <c r="DA234">
        <f>AL234</f>
        <v>6.71</v>
      </c>
      <c r="DB234">
        <f>ROUND((ROUND(AT234*CZ234,2)*1.2),2)</f>
        <v>21.77</v>
      </c>
      <c r="DC234">
        <f>ROUND((ROUND(AT234*AG234,2)*1.2),2)</f>
        <v>0</v>
      </c>
    </row>
    <row r="235" spans="1:107" x14ac:dyDescent="0.2">
      <c r="A235">
        <f>ROW(Source!A185)</f>
        <v>185</v>
      </c>
      <c r="B235">
        <v>16808636</v>
      </c>
      <c r="C235">
        <v>16808866</v>
      </c>
      <c r="D235">
        <v>15167589</v>
      </c>
      <c r="E235">
        <v>1</v>
      </c>
      <c r="F235">
        <v>1</v>
      </c>
      <c r="G235">
        <v>1</v>
      </c>
      <c r="H235">
        <v>3</v>
      </c>
      <c r="I235" t="s">
        <v>767</v>
      </c>
      <c r="J235" t="s">
        <v>768</v>
      </c>
      <c r="K235" t="s">
        <v>769</v>
      </c>
      <c r="L235">
        <v>1346</v>
      </c>
      <c r="N235">
        <v>1009</v>
      </c>
      <c r="O235" t="s">
        <v>300</v>
      </c>
      <c r="P235" t="s">
        <v>300</v>
      </c>
      <c r="Q235">
        <v>1</v>
      </c>
      <c r="W235">
        <v>0</v>
      </c>
      <c r="X235">
        <v>-2124370092</v>
      </c>
      <c r="Y235">
        <v>1.4999999999999999E-2</v>
      </c>
      <c r="AA235">
        <v>612.55999999999995</v>
      </c>
      <c r="AB235">
        <v>0</v>
      </c>
      <c r="AC235">
        <v>0</v>
      </c>
      <c r="AD235">
        <v>0</v>
      </c>
      <c r="AE235">
        <v>91.29</v>
      </c>
      <c r="AF235">
        <v>0</v>
      </c>
      <c r="AG235">
        <v>0</v>
      </c>
      <c r="AH235">
        <v>0</v>
      </c>
      <c r="AI235">
        <v>6.71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6</v>
      </c>
      <c r="AT235">
        <v>1.4999999999999999E-2</v>
      </c>
      <c r="AU235" t="s">
        <v>6</v>
      </c>
      <c r="AV235">
        <v>0</v>
      </c>
      <c r="AW235">
        <v>2</v>
      </c>
      <c r="AX235">
        <v>16808873</v>
      </c>
      <c r="AY235">
        <v>1</v>
      </c>
      <c r="AZ235">
        <v>0</v>
      </c>
      <c r="BA235">
        <v>218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Y235*Source!I185</f>
        <v>0.09</v>
      </c>
      <c r="CY235">
        <f>AA235</f>
        <v>612.55999999999995</v>
      </c>
      <c r="CZ235">
        <f>AE235</f>
        <v>91.29</v>
      </c>
      <c r="DA235">
        <f>AI235</f>
        <v>6.71</v>
      </c>
      <c r="DB235">
        <f>ROUND(ROUND(AT235*CZ235,2),2)</f>
        <v>1.37</v>
      </c>
      <c r="DC235">
        <f>ROUND(ROUND(AT235*AG235,2),2)</f>
        <v>0</v>
      </c>
    </row>
    <row r="236" spans="1:107" x14ac:dyDescent="0.2">
      <c r="A236">
        <f>ROW(Source!A185)</f>
        <v>185</v>
      </c>
      <c r="B236">
        <v>16808636</v>
      </c>
      <c r="C236">
        <v>16808866</v>
      </c>
      <c r="D236">
        <v>15225559</v>
      </c>
      <c r="E236">
        <v>1</v>
      </c>
      <c r="F236">
        <v>1</v>
      </c>
      <c r="G236">
        <v>1</v>
      </c>
      <c r="H236">
        <v>3</v>
      </c>
      <c r="I236" t="s">
        <v>770</v>
      </c>
      <c r="J236" t="s">
        <v>771</v>
      </c>
      <c r="K236" t="s">
        <v>772</v>
      </c>
      <c r="L236">
        <v>1477</v>
      </c>
      <c r="N236">
        <v>1013</v>
      </c>
      <c r="O236" t="s">
        <v>463</v>
      </c>
      <c r="P236" t="s">
        <v>465</v>
      </c>
      <c r="Q236">
        <v>1</v>
      </c>
      <c r="W236">
        <v>0</v>
      </c>
      <c r="X236">
        <v>2077511803</v>
      </c>
      <c r="Y236">
        <v>5.0000000000000001E-3</v>
      </c>
      <c r="AA236">
        <v>12207.5</v>
      </c>
      <c r="AB236">
        <v>0</v>
      </c>
      <c r="AC236">
        <v>0</v>
      </c>
      <c r="AD236">
        <v>0</v>
      </c>
      <c r="AE236">
        <v>1819.3</v>
      </c>
      <c r="AF236">
        <v>0</v>
      </c>
      <c r="AG236">
        <v>0</v>
      </c>
      <c r="AH236">
        <v>0</v>
      </c>
      <c r="AI236">
        <v>6.71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6</v>
      </c>
      <c r="AT236">
        <v>5.0000000000000001E-3</v>
      </c>
      <c r="AU236" t="s">
        <v>6</v>
      </c>
      <c r="AV236">
        <v>0</v>
      </c>
      <c r="AW236">
        <v>2</v>
      </c>
      <c r="AX236">
        <v>16808874</v>
      </c>
      <c r="AY236">
        <v>1</v>
      </c>
      <c r="AZ236">
        <v>0</v>
      </c>
      <c r="BA236">
        <v>219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Y236*Source!I185</f>
        <v>0.03</v>
      </c>
      <c r="CY236">
        <f>AA236</f>
        <v>12207.5</v>
      </c>
      <c r="CZ236">
        <f>AE236</f>
        <v>1819.3</v>
      </c>
      <c r="DA236">
        <f>AI236</f>
        <v>6.71</v>
      </c>
      <c r="DB236">
        <f>ROUND(ROUND(AT236*CZ236,2),2)</f>
        <v>9.1</v>
      </c>
      <c r="DC236">
        <f>ROUND(ROUND(AT236*AG236,2),2)</f>
        <v>0</v>
      </c>
    </row>
    <row r="237" spans="1:107" x14ac:dyDescent="0.2">
      <c r="A237">
        <f>ROW(Source!A185)</f>
        <v>185</v>
      </c>
      <c r="B237">
        <v>16808636</v>
      </c>
      <c r="C237">
        <v>16808866</v>
      </c>
      <c r="D237">
        <v>15226127</v>
      </c>
      <c r="E237">
        <v>1</v>
      </c>
      <c r="F237">
        <v>1</v>
      </c>
      <c r="G237">
        <v>1</v>
      </c>
      <c r="H237">
        <v>3</v>
      </c>
      <c r="I237" t="s">
        <v>773</v>
      </c>
      <c r="J237" t="s">
        <v>774</v>
      </c>
      <c r="K237" t="s">
        <v>775</v>
      </c>
      <c r="L237">
        <v>1355</v>
      </c>
      <c r="N237">
        <v>1010</v>
      </c>
      <c r="O237" t="s">
        <v>326</v>
      </c>
      <c r="P237" t="s">
        <v>326</v>
      </c>
      <c r="Q237">
        <v>100</v>
      </c>
      <c r="W237">
        <v>0</v>
      </c>
      <c r="X237">
        <v>-803502612</v>
      </c>
      <c r="Y237">
        <v>1.0999999999999999E-2</v>
      </c>
      <c r="AA237">
        <v>1100.44</v>
      </c>
      <c r="AB237">
        <v>0</v>
      </c>
      <c r="AC237">
        <v>0</v>
      </c>
      <c r="AD237">
        <v>0</v>
      </c>
      <c r="AE237">
        <v>164</v>
      </c>
      <c r="AF237">
        <v>0</v>
      </c>
      <c r="AG237">
        <v>0</v>
      </c>
      <c r="AH237">
        <v>0</v>
      </c>
      <c r="AI237">
        <v>6.71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6</v>
      </c>
      <c r="AT237">
        <v>1.0999999999999999E-2</v>
      </c>
      <c r="AU237" t="s">
        <v>6</v>
      </c>
      <c r="AV237">
        <v>0</v>
      </c>
      <c r="AW237">
        <v>2</v>
      </c>
      <c r="AX237">
        <v>16808875</v>
      </c>
      <c r="AY237">
        <v>1</v>
      </c>
      <c r="AZ237">
        <v>0</v>
      </c>
      <c r="BA237">
        <v>220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Y237*Source!I185</f>
        <v>6.6000000000000003E-2</v>
      </c>
      <c r="CY237">
        <f>AA237</f>
        <v>1100.44</v>
      </c>
      <c r="CZ237">
        <f>AE237</f>
        <v>164</v>
      </c>
      <c r="DA237">
        <f>AI237</f>
        <v>6.71</v>
      </c>
      <c r="DB237">
        <f>ROUND(ROUND(AT237*CZ237,2),2)</f>
        <v>1.8</v>
      </c>
      <c r="DC237">
        <f>ROUND(ROUND(AT237*AG237,2),2)</f>
        <v>0</v>
      </c>
    </row>
    <row r="238" spans="1:107" x14ac:dyDescent="0.2">
      <c r="A238">
        <f>ROW(Source!A185)</f>
        <v>185</v>
      </c>
      <c r="B238">
        <v>16808636</v>
      </c>
      <c r="C238">
        <v>16808866</v>
      </c>
      <c r="D238">
        <v>15164559</v>
      </c>
      <c r="E238">
        <v>17</v>
      </c>
      <c r="F238">
        <v>1</v>
      </c>
      <c r="G238">
        <v>1</v>
      </c>
      <c r="H238">
        <v>3</v>
      </c>
      <c r="I238" t="s">
        <v>736</v>
      </c>
      <c r="J238" t="s">
        <v>6</v>
      </c>
      <c r="K238" t="s">
        <v>737</v>
      </c>
      <c r="L238">
        <v>1374</v>
      </c>
      <c r="N238">
        <v>1013</v>
      </c>
      <c r="O238" t="s">
        <v>738</v>
      </c>
      <c r="P238" t="s">
        <v>738</v>
      </c>
      <c r="Q238">
        <v>1</v>
      </c>
      <c r="W238">
        <v>0</v>
      </c>
      <c r="X238">
        <v>-1731369543</v>
      </c>
      <c r="Y238">
        <v>0.36</v>
      </c>
      <c r="AA238">
        <v>1</v>
      </c>
      <c r="AB238">
        <v>0</v>
      </c>
      <c r="AC238">
        <v>0</v>
      </c>
      <c r="AD238">
        <v>0</v>
      </c>
      <c r="AE238">
        <v>1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6</v>
      </c>
      <c r="AT238">
        <v>0.36</v>
      </c>
      <c r="AU238" t="s">
        <v>6</v>
      </c>
      <c r="AV238">
        <v>0</v>
      </c>
      <c r="AW238">
        <v>2</v>
      </c>
      <c r="AX238">
        <v>16808876</v>
      </c>
      <c r="AY238">
        <v>1</v>
      </c>
      <c r="AZ238">
        <v>0</v>
      </c>
      <c r="BA238">
        <v>221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Y238*Source!I185</f>
        <v>2.16</v>
      </c>
      <c r="CY238">
        <f>AA238</f>
        <v>1</v>
      </c>
      <c r="CZ238">
        <f>AE238</f>
        <v>1</v>
      </c>
      <c r="DA238">
        <f>AI238</f>
        <v>1</v>
      </c>
      <c r="DB238">
        <f>ROUND(ROUND(AT238*CZ238,2),2)</f>
        <v>0.36</v>
      </c>
      <c r="DC238">
        <f>ROUND(ROUND(AT238*AG238,2),2)</f>
        <v>0</v>
      </c>
    </row>
    <row r="239" spans="1:107" x14ac:dyDescent="0.2">
      <c r="A239">
        <f>ROW(Source!A186)</f>
        <v>186</v>
      </c>
      <c r="B239">
        <v>16808636</v>
      </c>
      <c r="C239">
        <v>16808878</v>
      </c>
      <c r="D239">
        <v>15436556</v>
      </c>
      <c r="E239">
        <v>1</v>
      </c>
      <c r="F239">
        <v>1</v>
      </c>
      <c r="G239">
        <v>1</v>
      </c>
      <c r="H239">
        <v>1</v>
      </c>
      <c r="I239" t="s">
        <v>748</v>
      </c>
      <c r="J239" t="s">
        <v>6</v>
      </c>
      <c r="K239" t="s">
        <v>749</v>
      </c>
      <c r="L239">
        <v>1191</v>
      </c>
      <c r="N239">
        <v>1013</v>
      </c>
      <c r="O239" t="s">
        <v>708</v>
      </c>
      <c r="P239" t="s">
        <v>708</v>
      </c>
      <c r="Q239">
        <v>1</v>
      </c>
      <c r="W239">
        <v>0</v>
      </c>
      <c r="X239">
        <v>1069510174</v>
      </c>
      <c r="Y239">
        <v>1.008</v>
      </c>
      <c r="AA239">
        <v>0</v>
      </c>
      <c r="AB239">
        <v>0</v>
      </c>
      <c r="AC239">
        <v>0</v>
      </c>
      <c r="AD239">
        <v>64.55</v>
      </c>
      <c r="AE239">
        <v>0</v>
      </c>
      <c r="AF239">
        <v>0</v>
      </c>
      <c r="AG239">
        <v>0</v>
      </c>
      <c r="AH239">
        <v>9.6199999999999992</v>
      </c>
      <c r="AI239">
        <v>1</v>
      </c>
      <c r="AJ239">
        <v>1</v>
      </c>
      <c r="AK239">
        <v>1</v>
      </c>
      <c r="AL239">
        <v>6.71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6</v>
      </c>
      <c r="AT239">
        <v>0.84</v>
      </c>
      <c r="AU239" t="s">
        <v>443</v>
      </c>
      <c r="AV239">
        <v>1</v>
      </c>
      <c r="AW239">
        <v>2</v>
      </c>
      <c r="AX239">
        <v>16808886</v>
      </c>
      <c r="AY239">
        <v>1</v>
      </c>
      <c r="AZ239">
        <v>0</v>
      </c>
      <c r="BA239">
        <v>222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Y239*Source!I186</f>
        <v>21.167999999999999</v>
      </c>
      <c r="CY239">
        <f>AD239</f>
        <v>64.55</v>
      </c>
      <c r="CZ239">
        <f>AH239</f>
        <v>9.6199999999999992</v>
      </c>
      <c r="DA239">
        <f>AL239</f>
        <v>6.71</v>
      </c>
      <c r="DB239">
        <f>ROUND((ROUND(AT239*CZ239,2)*1.2),2)</f>
        <v>9.6999999999999993</v>
      </c>
      <c r="DC239">
        <f>ROUND((ROUND(AT239*AG239,2)*1.2),2)</f>
        <v>0</v>
      </c>
    </row>
    <row r="240" spans="1:107" x14ac:dyDescent="0.2">
      <c r="A240">
        <f>ROW(Source!A186)</f>
        <v>186</v>
      </c>
      <c r="B240">
        <v>16808636</v>
      </c>
      <c r="C240">
        <v>16808878</v>
      </c>
      <c r="D240">
        <v>15165918</v>
      </c>
      <c r="E240">
        <v>1</v>
      </c>
      <c r="F240">
        <v>1</v>
      </c>
      <c r="G240">
        <v>1</v>
      </c>
      <c r="H240">
        <v>3</v>
      </c>
      <c r="I240" t="s">
        <v>750</v>
      </c>
      <c r="J240" t="s">
        <v>751</v>
      </c>
      <c r="K240" t="s">
        <v>752</v>
      </c>
      <c r="L240">
        <v>1346</v>
      </c>
      <c r="N240">
        <v>1009</v>
      </c>
      <c r="O240" t="s">
        <v>300</v>
      </c>
      <c r="P240" t="s">
        <v>300</v>
      </c>
      <c r="Q240">
        <v>1</v>
      </c>
      <c r="W240">
        <v>0</v>
      </c>
      <c r="X240">
        <v>1559187994</v>
      </c>
      <c r="Y240">
        <v>2.0000000000000001E-4</v>
      </c>
      <c r="AA240">
        <v>186.14</v>
      </c>
      <c r="AB240">
        <v>0</v>
      </c>
      <c r="AC240">
        <v>0</v>
      </c>
      <c r="AD240">
        <v>0</v>
      </c>
      <c r="AE240">
        <v>27.74</v>
      </c>
      <c r="AF240">
        <v>0</v>
      </c>
      <c r="AG240">
        <v>0</v>
      </c>
      <c r="AH240">
        <v>0</v>
      </c>
      <c r="AI240">
        <v>6.71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6</v>
      </c>
      <c r="AT240">
        <v>2.0000000000000001E-4</v>
      </c>
      <c r="AU240" t="s">
        <v>6</v>
      </c>
      <c r="AV240">
        <v>0</v>
      </c>
      <c r="AW240">
        <v>2</v>
      </c>
      <c r="AX240">
        <v>16808887</v>
      </c>
      <c r="AY240">
        <v>1</v>
      </c>
      <c r="AZ240">
        <v>0</v>
      </c>
      <c r="BA240">
        <v>223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Y240*Source!I186</f>
        <v>4.2000000000000006E-3</v>
      </c>
      <c r="CY240">
        <f t="shared" ref="CY240:CY245" si="44">AA240</f>
        <v>186.14</v>
      </c>
      <c r="CZ240">
        <f t="shared" ref="CZ240:CZ245" si="45">AE240</f>
        <v>27.74</v>
      </c>
      <c r="DA240">
        <f t="shared" ref="DA240:DA245" si="46">AI240</f>
        <v>6.71</v>
      </c>
      <c r="DB240">
        <f t="shared" ref="DB240:DB245" si="47">ROUND(ROUND(AT240*CZ240,2),2)</f>
        <v>0.01</v>
      </c>
      <c r="DC240">
        <f t="shared" ref="DC240:DC245" si="48">ROUND(ROUND(AT240*AG240,2),2)</f>
        <v>0</v>
      </c>
    </row>
    <row r="241" spans="1:107" x14ac:dyDescent="0.2">
      <c r="A241">
        <f>ROW(Source!A186)</f>
        <v>186</v>
      </c>
      <c r="B241">
        <v>16808636</v>
      </c>
      <c r="C241">
        <v>16808878</v>
      </c>
      <c r="D241">
        <v>15170072</v>
      </c>
      <c r="E241">
        <v>1</v>
      </c>
      <c r="F241">
        <v>1</v>
      </c>
      <c r="G241">
        <v>1</v>
      </c>
      <c r="H241">
        <v>3</v>
      </c>
      <c r="I241" t="s">
        <v>753</v>
      </c>
      <c r="J241" t="s">
        <v>754</v>
      </c>
      <c r="K241" t="s">
        <v>755</v>
      </c>
      <c r="L241">
        <v>1355</v>
      </c>
      <c r="N241">
        <v>1010</v>
      </c>
      <c r="O241" t="s">
        <v>326</v>
      </c>
      <c r="P241" t="s">
        <v>326</v>
      </c>
      <c r="Q241">
        <v>100</v>
      </c>
      <c r="W241">
        <v>0</v>
      </c>
      <c r="X241">
        <v>-66531260</v>
      </c>
      <c r="Y241">
        <v>0.01</v>
      </c>
      <c r="AA241">
        <v>556.92999999999995</v>
      </c>
      <c r="AB241">
        <v>0</v>
      </c>
      <c r="AC241">
        <v>0</v>
      </c>
      <c r="AD241">
        <v>0</v>
      </c>
      <c r="AE241">
        <v>83</v>
      </c>
      <c r="AF241">
        <v>0</v>
      </c>
      <c r="AG241">
        <v>0</v>
      </c>
      <c r="AH241">
        <v>0</v>
      </c>
      <c r="AI241">
        <v>6.71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6</v>
      </c>
      <c r="AT241">
        <v>0.01</v>
      </c>
      <c r="AU241" t="s">
        <v>6</v>
      </c>
      <c r="AV241">
        <v>0</v>
      </c>
      <c r="AW241">
        <v>2</v>
      </c>
      <c r="AX241">
        <v>16808888</v>
      </c>
      <c r="AY241">
        <v>1</v>
      </c>
      <c r="AZ241">
        <v>0</v>
      </c>
      <c r="BA241">
        <v>224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Y241*Source!I186</f>
        <v>0.21</v>
      </c>
      <c r="CY241">
        <f t="shared" si="44"/>
        <v>556.92999999999995</v>
      </c>
      <c r="CZ241">
        <f t="shared" si="45"/>
        <v>83</v>
      </c>
      <c r="DA241">
        <f t="shared" si="46"/>
        <v>6.71</v>
      </c>
      <c r="DB241">
        <f t="shared" si="47"/>
        <v>0.83</v>
      </c>
      <c r="DC241">
        <f t="shared" si="48"/>
        <v>0</v>
      </c>
    </row>
    <row r="242" spans="1:107" x14ac:dyDescent="0.2">
      <c r="A242">
        <f>ROW(Source!A186)</f>
        <v>186</v>
      </c>
      <c r="B242">
        <v>16808636</v>
      </c>
      <c r="C242">
        <v>16808878</v>
      </c>
      <c r="D242">
        <v>15171982</v>
      </c>
      <c r="E242">
        <v>1</v>
      </c>
      <c r="F242">
        <v>1</v>
      </c>
      <c r="G242">
        <v>1</v>
      </c>
      <c r="H242">
        <v>3</v>
      </c>
      <c r="I242" t="s">
        <v>756</v>
      </c>
      <c r="J242" t="s">
        <v>757</v>
      </c>
      <c r="K242" t="s">
        <v>758</v>
      </c>
      <c r="L242">
        <v>1348</v>
      </c>
      <c r="N242">
        <v>1009</v>
      </c>
      <c r="O242" t="s">
        <v>104</v>
      </c>
      <c r="P242" t="s">
        <v>104</v>
      </c>
      <c r="Q242">
        <v>1000</v>
      </c>
      <c r="W242">
        <v>0</v>
      </c>
      <c r="X242">
        <v>-1421715385</v>
      </c>
      <c r="Y242">
        <v>1.0000000000000001E-5</v>
      </c>
      <c r="AA242">
        <v>4898.17</v>
      </c>
      <c r="AB242">
        <v>0</v>
      </c>
      <c r="AC242">
        <v>0</v>
      </c>
      <c r="AD242">
        <v>0</v>
      </c>
      <c r="AE242">
        <v>729.98</v>
      </c>
      <c r="AF242">
        <v>0</v>
      </c>
      <c r="AG242">
        <v>0</v>
      </c>
      <c r="AH242">
        <v>0</v>
      </c>
      <c r="AI242">
        <v>6.71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6</v>
      </c>
      <c r="AT242">
        <v>1.0000000000000001E-5</v>
      </c>
      <c r="AU242" t="s">
        <v>6</v>
      </c>
      <c r="AV242">
        <v>0</v>
      </c>
      <c r="AW242">
        <v>2</v>
      </c>
      <c r="AX242">
        <v>16808889</v>
      </c>
      <c r="AY242">
        <v>1</v>
      </c>
      <c r="AZ242">
        <v>0</v>
      </c>
      <c r="BA242">
        <v>225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Y242*Source!I186</f>
        <v>2.1000000000000001E-4</v>
      </c>
      <c r="CY242">
        <f t="shared" si="44"/>
        <v>4898.17</v>
      </c>
      <c r="CZ242">
        <f t="shared" si="45"/>
        <v>729.98</v>
      </c>
      <c r="DA242">
        <f t="shared" si="46"/>
        <v>6.71</v>
      </c>
      <c r="DB242">
        <f t="shared" si="47"/>
        <v>0.01</v>
      </c>
      <c r="DC242">
        <f t="shared" si="48"/>
        <v>0</v>
      </c>
    </row>
    <row r="243" spans="1:107" x14ac:dyDescent="0.2">
      <c r="A243">
        <f>ROW(Source!A186)</f>
        <v>186</v>
      </c>
      <c r="B243">
        <v>16808636</v>
      </c>
      <c r="C243">
        <v>16808878</v>
      </c>
      <c r="D243">
        <v>15195043</v>
      </c>
      <c r="E243">
        <v>1</v>
      </c>
      <c r="F243">
        <v>1</v>
      </c>
      <c r="G243">
        <v>1</v>
      </c>
      <c r="H243">
        <v>3</v>
      </c>
      <c r="I243" t="s">
        <v>759</v>
      </c>
      <c r="J243" t="s">
        <v>760</v>
      </c>
      <c r="K243" t="s">
        <v>761</v>
      </c>
      <c r="L243">
        <v>1346</v>
      </c>
      <c r="N243">
        <v>1009</v>
      </c>
      <c r="O243" t="s">
        <v>300</v>
      </c>
      <c r="P243" t="s">
        <v>300</v>
      </c>
      <c r="Q243">
        <v>1</v>
      </c>
      <c r="W243">
        <v>0</v>
      </c>
      <c r="X243">
        <v>-1726842289</v>
      </c>
      <c r="Y243">
        <v>2E-3</v>
      </c>
      <c r="AA243">
        <v>441.18</v>
      </c>
      <c r="AB243">
        <v>0</v>
      </c>
      <c r="AC243">
        <v>0</v>
      </c>
      <c r="AD243">
        <v>0</v>
      </c>
      <c r="AE243">
        <v>65.75</v>
      </c>
      <c r="AF243">
        <v>0</v>
      </c>
      <c r="AG243">
        <v>0</v>
      </c>
      <c r="AH243">
        <v>0</v>
      </c>
      <c r="AI243">
        <v>6.71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6</v>
      </c>
      <c r="AT243">
        <v>2E-3</v>
      </c>
      <c r="AU243" t="s">
        <v>6</v>
      </c>
      <c r="AV243">
        <v>0</v>
      </c>
      <c r="AW243">
        <v>2</v>
      </c>
      <c r="AX243">
        <v>16808890</v>
      </c>
      <c r="AY243">
        <v>1</v>
      </c>
      <c r="AZ243">
        <v>0</v>
      </c>
      <c r="BA243">
        <v>226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Y243*Source!I186</f>
        <v>4.2000000000000003E-2</v>
      </c>
      <c r="CY243">
        <f t="shared" si="44"/>
        <v>441.18</v>
      </c>
      <c r="CZ243">
        <f t="shared" si="45"/>
        <v>65.75</v>
      </c>
      <c r="DA243">
        <f t="shared" si="46"/>
        <v>6.71</v>
      </c>
      <c r="DB243">
        <f t="shared" si="47"/>
        <v>0.13</v>
      </c>
      <c r="DC243">
        <f t="shared" si="48"/>
        <v>0</v>
      </c>
    </row>
    <row r="244" spans="1:107" x14ac:dyDescent="0.2">
      <c r="A244">
        <f>ROW(Source!A186)</f>
        <v>186</v>
      </c>
      <c r="B244">
        <v>16808636</v>
      </c>
      <c r="C244">
        <v>16808878</v>
      </c>
      <c r="D244">
        <v>15202502</v>
      </c>
      <c r="E244">
        <v>1</v>
      </c>
      <c r="F244">
        <v>1</v>
      </c>
      <c r="G244">
        <v>1</v>
      </c>
      <c r="H244">
        <v>3</v>
      </c>
      <c r="I244" t="s">
        <v>762</v>
      </c>
      <c r="J244" t="s">
        <v>763</v>
      </c>
      <c r="K244" t="s">
        <v>764</v>
      </c>
      <c r="L244">
        <v>1346</v>
      </c>
      <c r="N244">
        <v>1009</v>
      </c>
      <c r="O244" t="s">
        <v>300</v>
      </c>
      <c r="P244" t="s">
        <v>300</v>
      </c>
      <c r="Q244">
        <v>1</v>
      </c>
      <c r="W244">
        <v>0</v>
      </c>
      <c r="X244">
        <v>497371595</v>
      </c>
      <c r="Y244">
        <v>5.0000000000000001E-3</v>
      </c>
      <c r="AA244">
        <v>194.12</v>
      </c>
      <c r="AB244">
        <v>0</v>
      </c>
      <c r="AC244">
        <v>0</v>
      </c>
      <c r="AD244">
        <v>0</v>
      </c>
      <c r="AE244">
        <v>28.93</v>
      </c>
      <c r="AF244">
        <v>0</v>
      </c>
      <c r="AG244">
        <v>0</v>
      </c>
      <c r="AH244">
        <v>0</v>
      </c>
      <c r="AI244">
        <v>6.71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6</v>
      </c>
      <c r="AT244">
        <v>5.0000000000000001E-3</v>
      </c>
      <c r="AU244" t="s">
        <v>6</v>
      </c>
      <c r="AV244">
        <v>0</v>
      </c>
      <c r="AW244">
        <v>2</v>
      </c>
      <c r="AX244">
        <v>16808891</v>
      </c>
      <c r="AY244">
        <v>1</v>
      </c>
      <c r="AZ244">
        <v>0</v>
      </c>
      <c r="BA244">
        <v>227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Y244*Source!I186</f>
        <v>0.105</v>
      </c>
      <c r="CY244">
        <f t="shared" si="44"/>
        <v>194.12</v>
      </c>
      <c r="CZ244">
        <f t="shared" si="45"/>
        <v>28.93</v>
      </c>
      <c r="DA244">
        <f t="shared" si="46"/>
        <v>6.71</v>
      </c>
      <c r="DB244">
        <f t="shared" si="47"/>
        <v>0.14000000000000001</v>
      </c>
      <c r="DC244">
        <f t="shared" si="48"/>
        <v>0</v>
      </c>
    </row>
    <row r="245" spans="1:107" x14ac:dyDescent="0.2">
      <c r="A245">
        <f>ROW(Source!A186)</f>
        <v>186</v>
      </c>
      <c r="B245">
        <v>16808636</v>
      </c>
      <c r="C245">
        <v>16808878</v>
      </c>
      <c r="D245">
        <v>15164559</v>
      </c>
      <c r="E245">
        <v>17</v>
      </c>
      <c r="F245">
        <v>1</v>
      </c>
      <c r="G245">
        <v>1</v>
      </c>
      <c r="H245">
        <v>3</v>
      </c>
      <c r="I245" t="s">
        <v>736</v>
      </c>
      <c r="J245" t="s">
        <v>6</v>
      </c>
      <c r="K245" t="s">
        <v>737</v>
      </c>
      <c r="L245">
        <v>1374</v>
      </c>
      <c r="N245">
        <v>1013</v>
      </c>
      <c r="O245" t="s">
        <v>738</v>
      </c>
      <c r="P245" t="s">
        <v>738</v>
      </c>
      <c r="Q245">
        <v>1</v>
      </c>
      <c r="W245">
        <v>0</v>
      </c>
      <c r="X245">
        <v>-1731369543</v>
      </c>
      <c r="Y245">
        <v>0.16</v>
      </c>
      <c r="AA245">
        <v>1</v>
      </c>
      <c r="AB245">
        <v>0</v>
      </c>
      <c r="AC245">
        <v>0</v>
      </c>
      <c r="AD245">
        <v>0</v>
      </c>
      <c r="AE245">
        <v>1</v>
      </c>
      <c r="AF245">
        <v>0</v>
      </c>
      <c r="AG245">
        <v>0</v>
      </c>
      <c r="AH245">
        <v>0</v>
      </c>
      <c r="AI245">
        <v>1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0</v>
      </c>
      <c r="AQ245">
        <v>0</v>
      </c>
      <c r="AR245">
        <v>0</v>
      </c>
      <c r="AS245" t="s">
        <v>6</v>
      </c>
      <c r="AT245">
        <v>0.16</v>
      </c>
      <c r="AU245" t="s">
        <v>6</v>
      </c>
      <c r="AV245">
        <v>0</v>
      </c>
      <c r="AW245">
        <v>2</v>
      </c>
      <c r="AX245">
        <v>16808892</v>
      </c>
      <c r="AY245">
        <v>1</v>
      </c>
      <c r="AZ245">
        <v>0</v>
      </c>
      <c r="BA245">
        <v>228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Y245*Source!I186</f>
        <v>3.36</v>
      </c>
      <c r="CY245">
        <f t="shared" si="44"/>
        <v>1</v>
      </c>
      <c r="CZ245">
        <f t="shared" si="45"/>
        <v>1</v>
      </c>
      <c r="DA245">
        <f t="shared" si="46"/>
        <v>1</v>
      </c>
      <c r="DB245">
        <f t="shared" si="47"/>
        <v>0.16</v>
      </c>
      <c r="DC245">
        <f t="shared" si="48"/>
        <v>0</v>
      </c>
    </row>
    <row r="246" spans="1:107" x14ac:dyDescent="0.2">
      <c r="A246">
        <f>ROW(Source!A187)</f>
        <v>187</v>
      </c>
      <c r="B246">
        <v>16808636</v>
      </c>
      <c r="C246">
        <v>16808893</v>
      </c>
      <c r="D246">
        <v>15438286</v>
      </c>
      <c r="E246">
        <v>1</v>
      </c>
      <c r="F246">
        <v>1</v>
      </c>
      <c r="G246">
        <v>1</v>
      </c>
      <c r="H246">
        <v>1</v>
      </c>
      <c r="I246" t="s">
        <v>805</v>
      </c>
      <c r="J246" t="s">
        <v>6</v>
      </c>
      <c r="K246" t="s">
        <v>806</v>
      </c>
      <c r="L246">
        <v>1191</v>
      </c>
      <c r="N246">
        <v>1013</v>
      </c>
      <c r="O246" t="s">
        <v>708</v>
      </c>
      <c r="P246" t="s">
        <v>708</v>
      </c>
      <c r="Q246">
        <v>1</v>
      </c>
      <c r="W246">
        <v>0</v>
      </c>
      <c r="X246">
        <v>-1027537862</v>
      </c>
      <c r="Y246">
        <v>18.239999999999998</v>
      </c>
      <c r="AA246">
        <v>0</v>
      </c>
      <c r="AB246">
        <v>0</v>
      </c>
      <c r="AC246">
        <v>0</v>
      </c>
      <c r="AD246">
        <v>61.6</v>
      </c>
      <c r="AE246">
        <v>0</v>
      </c>
      <c r="AF246">
        <v>0</v>
      </c>
      <c r="AG246">
        <v>0</v>
      </c>
      <c r="AH246">
        <v>9.18</v>
      </c>
      <c r="AI246">
        <v>1</v>
      </c>
      <c r="AJ246">
        <v>1</v>
      </c>
      <c r="AK246">
        <v>1</v>
      </c>
      <c r="AL246">
        <v>6.71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6</v>
      </c>
      <c r="AT246">
        <v>15.2</v>
      </c>
      <c r="AU246" t="s">
        <v>443</v>
      </c>
      <c r="AV246">
        <v>1</v>
      </c>
      <c r="AW246">
        <v>2</v>
      </c>
      <c r="AX246">
        <v>16808898</v>
      </c>
      <c r="AY246">
        <v>1</v>
      </c>
      <c r="AZ246">
        <v>0</v>
      </c>
      <c r="BA246">
        <v>229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Y246*Source!I187</f>
        <v>3.6479999999999997</v>
      </c>
      <c r="CY246">
        <f>AD246</f>
        <v>61.6</v>
      </c>
      <c r="CZ246">
        <f>AH246</f>
        <v>9.18</v>
      </c>
      <c r="DA246">
        <f>AL246</f>
        <v>6.71</v>
      </c>
      <c r="DB246">
        <f>ROUND((ROUND(AT246*CZ246,2)*1.2),2)</f>
        <v>167.45</v>
      </c>
      <c r="DC246">
        <f>ROUND((ROUND(AT246*AG246,2)*1.2),2)</f>
        <v>0</v>
      </c>
    </row>
    <row r="247" spans="1:107" x14ac:dyDescent="0.2">
      <c r="A247">
        <f>ROW(Source!A187)</f>
        <v>187</v>
      </c>
      <c r="B247">
        <v>16808636</v>
      </c>
      <c r="C247">
        <v>16808893</v>
      </c>
      <c r="D247">
        <v>15170155</v>
      </c>
      <c r="E247">
        <v>1</v>
      </c>
      <c r="F247">
        <v>1</v>
      </c>
      <c r="G247">
        <v>1</v>
      </c>
      <c r="H247">
        <v>3</v>
      </c>
      <c r="I247" t="s">
        <v>894</v>
      </c>
      <c r="J247" t="s">
        <v>895</v>
      </c>
      <c r="K247" t="s">
        <v>896</v>
      </c>
      <c r="L247">
        <v>1355</v>
      </c>
      <c r="N247">
        <v>1010</v>
      </c>
      <c r="O247" t="s">
        <v>326</v>
      </c>
      <c r="P247" t="s">
        <v>326</v>
      </c>
      <c r="Q247">
        <v>100</v>
      </c>
      <c r="W247">
        <v>0</v>
      </c>
      <c r="X247">
        <v>1135215184</v>
      </c>
      <c r="Y247">
        <v>1.75</v>
      </c>
      <c r="AA247">
        <v>53.68</v>
      </c>
      <c r="AB247">
        <v>0</v>
      </c>
      <c r="AC247">
        <v>0</v>
      </c>
      <c r="AD247">
        <v>0</v>
      </c>
      <c r="AE247">
        <v>8</v>
      </c>
      <c r="AF247">
        <v>0</v>
      </c>
      <c r="AG247">
        <v>0</v>
      </c>
      <c r="AH247">
        <v>0</v>
      </c>
      <c r="AI247">
        <v>6.71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0</v>
      </c>
      <c r="AQ247">
        <v>0</v>
      </c>
      <c r="AR247">
        <v>0</v>
      </c>
      <c r="AS247" t="s">
        <v>6</v>
      </c>
      <c r="AT247">
        <v>1.75</v>
      </c>
      <c r="AU247" t="s">
        <v>6</v>
      </c>
      <c r="AV247">
        <v>0</v>
      </c>
      <c r="AW247">
        <v>2</v>
      </c>
      <c r="AX247">
        <v>16808899</v>
      </c>
      <c r="AY247">
        <v>1</v>
      </c>
      <c r="AZ247">
        <v>0</v>
      </c>
      <c r="BA247">
        <v>230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Y247*Source!I187</f>
        <v>0.35000000000000003</v>
      </c>
      <c r="CY247">
        <f>AA247</f>
        <v>53.68</v>
      </c>
      <c r="CZ247">
        <f>AE247</f>
        <v>8</v>
      </c>
      <c r="DA247">
        <f>AI247</f>
        <v>6.71</v>
      </c>
      <c r="DB247">
        <f>ROUND(ROUND(AT247*CZ247,2),2)</f>
        <v>14</v>
      </c>
      <c r="DC247">
        <f>ROUND(ROUND(AT247*AG247,2),2)</f>
        <v>0</v>
      </c>
    </row>
    <row r="248" spans="1:107" x14ac:dyDescent="0.2">
      <c r="A248">
        <f>ROW(Source!A187)</f>
        <v>187</v>
      </c>
      <c r="B248">
        <v>16808636</v>
      </c>
      <c r="C248">
        <v>16808893</v>
      </c>
      <c r="D248">
        <v>15233333</v>
      </c>
      <c r="E248">
        <v>1</v>
      </c>
      <c r="F248">
        <v>1</v>
      </c>
      <c r="G248">
        <v>1</v>
      </c>
      <c r="H248">
        <v>3</v>
      </c>
      <c r="I248" t="s">
        <v>452</v>
      </c>
      <c r="J248" t="s">
        <v>455</v>
      </c>
      <c r="K248" t="s">
        <v>453</v>
      </c>
      <c r="L248">
        <v>1302</v>
      </c>
      <c r="N248">
        <v>1003</v>
      </c>
      <c r="O248" t="s">
        <v>454</v>
      </c>
      <c r="P248" t="s">
        <v>454</v>
      </c>
      <c r="Q248">
        <v>10</v>
      </c>
      <c r="W248">
        <v>0</v>
      </c>
      <c r="X248">
        <v>-819900352</v>
      </c>
      <c r="Y248">
        <v>10</v>
      </c>
      <c r="AA248">
        <v>108.1</v>
      </c>
      <c r="AB248">
        <v>0</v>
      </c>
      <c r="AC248">
        <v>0</v>
      </c>
      <c r="AD248">
        <v>0</v>
      </c>
      <c r="AE248">
        <v>16.11</v>
      </c>
      <c r="AF248">
        <v>0</v>
      </c>
      <c r="AG248">
        <v>0</v>
      </c>
      <c r="AH248">
        <v>0</v>
      </c>
      <c r="AI248">
        <v>6.71</v>
      </c>
      <c r="AJ248">
        <v>1</v>
      </c>
      <c r="AK248">
        <v>1</v>
      </c>
      <c r="AL248">
        <v>1</v>
      </c>
      <c r="AN248">
        <v>0</v>
      </c>
      <c r="AO248">
        <v>0</v>
      </c>
      <c r="AP248">
        <v>0</v>
      </c>
      <c r="AQ248">
        <v>0</v>
      </c>
      <c r="AR248">
        <v>0</v>
      </c>
      <c r="AS248" t="s">
        <v>6</v>
      </c>
      <c r="AT248">
        <v>10</v>
      </c>
      <c r="AU248" t="s">
        <v>6</v>
      </c>
      <c r="AV248">
        <v>0</v>
      </c>
      <c r="AW248">
        <v>1</v>
      </c>
      <c r="AX248">
        <v>-1</v>
      </c>
      <c r="AY248">
        <v>0</v>
      </c>
      <c r="AZ248">
        <v>0</v>
      </c>
      <c r="BA248" t="s">
        <v>6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Y248*Source!I187</f>
        <v>2</v>
      </c>
      <c r="CY248">
        <f>AA248</f>
        <v>108.1</v>
      </c>
      <c r="CZ248">
        <f>AE248</f>
        <v>16.11</v>
      </c>
      <c r="DA248">
        <f>AI248</f>
        <v>6.71</v>
      </c>
      <c r="DB248">
        <f>ROUND(ROUND(AT248*CZ248,2),2)</f>
        <v>161.1</v>
      </c>
      <c r="DC248">
        <f>ROUND(ROUND(AT248*AG248,2),2)</f>
        <v>0</v>
      </c>
    </row>
    <row r="249" spans="1:107" x14ac:dyDescent="0.2">
      <c r="A249">
        <f>ROW(Source!A187)</f>
        <v>187</v>
      </c>
      <c r="B249">
        <v>16808636</v>
      </c>
      <c r="C249">
        <v>16808893</v>
      </c>
      <c r="D249">
        <v>15164559</v>
      </c>
      <c r="E249">
        <v>17</v>
      </c>
      <c r="F249">
        <v>1</v>
      </c>
      <c r="G249">
        <v>1</v>
      </c>
      <c r="H249">
        <v>3</v>
      </c>
      <c r="I249" t="s">
        <v>736</v>
      </c>
      <c r="J249" t="s">
        <v>6</v>
      </c>
      <c r="K249" t="s">
        <v>737</v>
      </c>
      <c r="L249">
        <v>1374</v>
      </c>
      <c r="N249">
        <v>1013</v>
      </c>
      <c r="O249" t="s">
        <v>738</v>
      </c>
      <c r="P249" t="s">
        <v>738</v>
      </c>
      <c r="Q249">
        <v>1</v>
      </c>
      <c r="W249">
        <v>0</v>
      </c>
      <c r="X249">
        <v>-1731369543</v>
      </c>
      <c r="Y249">
        <v>2.79</v>
      </c>
      <c r="AA249">
        <v>1</v>
      </c>
      <c r="AB249">
        <v>0</v>
      </c>
      <c r="AC249">
        <v>0</v>
      </c>
      <c r="AD249">
        <v>0</v>
      </c>
      <c r="AE249">
        <v>1</v>
      </c>
      <c r="AF249">
        <v>0</v>
      </c>
      <c r="AG249">
        <v>0</v>
      </c>
      <c r="AH249">
        <v>0</v>
      </c>
      <c r="AI249">
        <v>1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0</v>
      </c>
      <c r="AQ249">
        <v>0</v>
      </c>
      <c r="AR249">
        <v>0</v>
      </c>
      <c r="AS249" t="s">
        <v>6</v>
      </c>
      <c r="AT249">
        <v>2.79</v>
      </c>
      <c r="AU249" t="s">
        <v>6</v>
      </c>
      <c r="AV249">
        <v>0</v>
      </c>
      <c r="AW249">
        <v>2</v>
      </c>
      <c r="AX249">
        <v>16808900</v>
      </c>
      <c r="AY249">
        <v>1</v>
      </c>
      <c r="AZ249">
        <v>0</v>
      </c>
      <c r="BA249">
        <v>231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Y249*Source!I187</f>
        <v>0.55800000000000005</v>
      </c>
      <c r="CY249">
        <f>AA249</f>
        <v>1</v>
      </c>
      <c r="CZ249">
        <f>AE249</f>
        <v>1</v>
      </c>
      <c r="DA249">
        <f>AI249</f>
        <v>1</v>
      </c>
      <c r="DB249">
        <f>ROUND(ROUND(AT249*CZ249,2),2)</f>
        <v>2.79</v>
      </c>
      <c r="DC249">
        <f>ROUND(ROUND(AT249*AG249,2),2)</f>
        <v>0</v>
      </c>
    </row>
    <row r="250" spans="1:107" x14ac:dyDescent="0.2">
      <c r="A250">
        <f>ROW(Source!A189)</f>
        <v>189</v>
      </c>
      <c r="B250">
        <v>16808636</v>
      </c>
      <c r="C250">
        <v>16808902</v>
      </c>
      <c r="D250">
        <v>15430397</v>
      </c>
      <c r="E250">
        <v>1</v>
      </c>
      <c r="F250">
        <v>1</v>
      </c>
      <c r="G250">
        <v>1</v>
      </c>
      <c r="H250">
        <v>1</v>
      </c>
      <c r="I250" t="s">
        <v>927</v>
      </c>
      <c r="J250" t="s">
        <v>6</v>
      </c>
      <c r="K250" t="s">
        <v>928</v>
      </c>
      <c r="L250">
        <v>1191</v>
      </c>
      <c r="N250">
        <v>1013</v>
      </c>
      <c r="O250" t="s">
        <v>708</v>
      </c>
      <c r="P250" t="s">
        <v>708</v>
      </c>
      <c r="Q250">
        <v>1</v>
      </c>
      <c r="W250">
        <v>0</v>
      </c>
      <c r="X250">
        <v>-1081351934</v>
      </c>
      <c r="Y250">
        <v>7.548</v>
      </c>
      <c r="AA250">
        <v>0</v>
      </c>
      <c r="AB250">
        <v>0</v>
      </c>
      <c r="AC250">
        <v>0</v>
      </c>
      <c r="AD250">
        <v>63.07</v>
      </c>
      <c r="AE250">
        <v>0</v>
      </c>
      <c r="AF250">
        <v>0</v>
      </c>
      <c r="AG250">
        <v>0</v>
      </c>
      <c r="AH250">
        <v>9.4</v>
      </c>
      <c r="AI250">
        <v>1</v>
      </c>
      <c r="AJ250">
        <v>1</v>
      </c>
      <c r="AK250">
        <v>1</v>
      </c>
      <c r="AL250">
        <v>6.71</v>
      </c>
      <c r="AN250">
        <v>0</v>
      </c>
      <c r="AO250">
        <v>1</v>
      </c>
      <c r="AP250">
        <v>1</v>
      </c>
      <c r="AQ250">
        <v>0</v>
      </c>
      <c r="AR250">
        <v>0</v>
      </c>
      <c r="AS250" t="s">
        <v>6</v>
      </c>
      <c r="AT250">
        <v>6.29</v>
      </c>
      <c r="AU250" t="s">
        <v>443</v>
      </c>
      <c r="AV250">
        <v>1</v>
      </c>
      <c r="AW250">
        <v>2</v>
      </c>
      <c r="AX250">
        <v>16808914</v>
      </c>
      <c r="AY250">
        <v>1</v>
      </c>
      <c r="AZ250">
        <v>0</v>
      </c>
      <c r="BA250">
        <v>232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Y250*Source!I189</f>
        <v>1.5096000000000001</v>
      </c>
      <c r="CY250">
        <f>AD250</f>
        <v>63.07</v>
      </c>
      <c r="CZ250">
        <f>AH250</f>
        <v>9.4</v>
      </c>
      <c r="DA250">
        <f>AL250</f>
        <v>6.71</v>
      </c>
      <c r="DB250">
        <f>ROUND((ROUND(AT250*CZ250,2)*1.2),2)</f>
        <v>70.959999999999994</v>
      </c>
      <c r="DC250">
        <f>ROUND((ROUND(AT250*AG250,2)*1.2),2)</f>
        <v>0</v>
      </c>
    </row>
    <row r="251" spans="1:107" x14ac:dyDescent="0.2">
      <c r="A251">
        <f>ROW(Source!A189)</f>
        <v>189</v>
      </c>
      <c r="B251">
        <v>16808636</v>
      </c>
      <c r="C251">
        <v>16808902</v>
      </c>
      <c r="D251">
        <v>15430395</v>
      </c>
      <c r="E251">
        <v>1</v>
      </c>
      <c r="F251">
        <v>1</v>
      </c>
      <c r="G251">
        <v>1</v>
      </c>
      <c r="H251">
        <v>1</v>
      </c>
      <c r="I251" t="s">
        <v>709</v>
      </c>
      <c r="J251" t="s">
        <v>6</v>
      </c>
      <c r="K251" t="s">
        <v>710</v>
      </c>
      <c r="L251">
        <v>1191</v>
      </c>
      <c r="N251">
        <v>1013</v>
      </c>
      <c r="O251" t="s">
        <v>708</v>
      </c>
      <c r="P251" t="s">
        <v>708</v>
      </c>
      <c r="Q251">
        <v>1</v>
      </c>
      <c r="W251">
        <v>0</v>
      </c>
      <c r="X251">
        <v>-1417349443</v>
      </c>
      <c r="Y251">
        <v>0.06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1</v>
      </c>
      <c r="AJ251">
        <v>1</v>
      </c>
      <c r="AK251">
        <v>6.71</v>
      </c>
      <c r="AL251">
        <v>1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6</v>
      </c>
      <c r="AT251">
        <v>0.06</v>
      </c>
      <c r="AU251" t="s">
        <v>6</v>
      </c>
      <c r="AV251">
        <v>2</v>
      </c>
      <c r="AW251">
        <v>2</v>
      </c>
      <c r="AX251">
        <v>16808915</v>
      </c>
      <c r="AY251">
        <v>1</v>
      </c>
      <c r="AZ251">
        <v>2048</v>
      </c>
      <c r="BA251">
        <v>233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Y251*Source!I189</f>
        <v>1.2E-2</v>
      </c>
      <c r="CY251">
        <f>AD251</f>
        <v>0</v>
      </c>
      <c r="CZ251">
        <f>AH251</f>
        <v>0</v>
      </c>
      <c r="DA251">
        <f>AL251</f>
        <v>1</v>
      </c>
      <c r="DB251">
        <f>ROUND(ROUND(AT251*CZ251,2),2)</f>
        <v>0</v>
      </c>
      <c r="DC251">
        <f>ROUND(ROUND(AT251*AG251,2),2)</f>
        <v>0</v>
      </c>
    </row>
    <row r="252" spans="1:107" x14ac:dyDescent="0.2">
      <c r="A252">
        <f>ROW(Source!A189)</f>
        <v>189</v>
      </c>
      <c r="B252">
        <v>16808636</v>
      </c>
      <c r="C252">
        <v>16808902</v>
      </c>
      <c r="D252">
        <v>15247680</v>
      </c>
      <c r="E252">
        <v>1</v>
      </c>
      <c r="F252">
        <v>1</v>
      </c>
      <c r="G252">
        <v>1</v>
      </c>
      <c r="H252">
        <v>2</v>
      </c>
      <c r="I252" t="s">
        <v>721</v>
      </c>
      <c r="J252" t="s">
        <v>722</v>
      </c>
      <c r="K252" t="s">
        <v>723</v>
      </c>
      <c r="L252">
        <v>1368</v>
      </c>
      <c r="N252">
        <v>1011</v>
      </c>
      <c r="O252" t="s">
        <v>714</v>
      </c>
      <c r="P252" t="s">
        <v>714</v>
      </c>
      <c r="Q252">
        <v>1</v>
      </c>
      <c r="W252">
        <v>0</v>
      </c>
      <c r="X252">
        <v>-1718674368</v>
      </c>
      <c r="Y252">
        <v>3.5999999999999997E-2</v>
      </c>
      <c r="AA252">
        <v>0</v>
      </c>
      <c r="AB252">
        <v>751.45</v>
      </c>
      <c r="AC252">
        <v>13.5</v>
      </c>
      <c r="AD252">
        <v>0</v>
      </c>
      <c r="AE252">
        <v>0</v>
      </c>
      <c r="AF252">
        <v>111.99</v>
      </c>
      <c r="AG252">
        <v>13.5</v>
      </c>
      <c r="AH252">
        <v>0</v>
      </c>
      <c r="AI252">
        <v>1</v>
      </c>
      <c r="AJ252">
        <v>6.71</v>
      </c>
      <c r="AK252">
        <v>1</v>
      </c>
      <c r="AL252">
        <v>1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6</v>
      </c>
      <c r="AT252">
        <v>0.03</v>
      </c>
      <c r="AU252" t="s">
        <v>443</v>
      </c>
      <c r="AV252">
        <v>0</v>
      </c>
      <c r="AW252">
        <v>2</v>
      </c>
      <c r="AX252">
        <v>16808916</v>
      </c>
      <c r="AY252">
        <v>1</v>
      </c>
      <c r="AZ252">
        <v>0</v>
      </c>
      <c r="BA252">
        <v>234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Y252*Source!I189</f>
        <v>7.1999999999999998E-3</v>
      </c>
      <c r="CY252">
        <f>AB252</f>
        <v>751.45</v>
      </c>
      <c r="CZ252">
        <f>AF252</f>
        <v>111.99</v>
      </c>
      <c r="DA252">
        <f>AJ252</f>
        <v>6.71</v>
      </c>
      <c r="DB252">
        <f>ROUND((ROUND(AT252*CZ252,2)*1.2),2)</f>
        <v>4.03</v>
      </c>
      <c r="DC252">
        <f>ROUND((ROUND(AT252*AG252,2)*1.2),2)</f>
        <v>0.49</v>
      </c>
    </row>
    <row r="253" spans="1:107" x14ac:dyDescent="0.2">
      <c r="A253">
        <f>ROW(Source!A189)</f>
        <v>189</v>
      </c>
      <c r="B253">
        <v>16808636</v>
      </c>
      <c r="C253">
        <v>16808902</v>
      </c>
      <c r="D253">
        <v>15249073</v>
      </c>
      <c r="E253">
        <v>1</v>
      </c>
      <c r="F253">
        <v>1</v>
      </c>
      <c r="G253">
        <v>1</v>
      </c>
      <c r="H253">
        <v>2</v>
      </c>
      <c r="I253" t="s">
        <v>724</v>
      </c>
      <c r="J253" t="s">
        <v>725</v>
      </c>
      <c r="K253" t="s">
        <v>726</v>
      </c>
      <c r="L253">
        <v>1368</v>
      </c>
      <c r="N253">
        <v>1011</v>
      </c>
      <c r="O253" t="s">
        <v>714</v>
      </c>
      <c r="P253" t="s">
        <v>714</v>
      </c>
      <c r="Q253">
        <v>1</v>
      </c>
      <c r="W253">
        <v>0</v>
      </c>
      <c r="X253">
        <v>1372534845</v>
      </c>
      <c r="Y253">
        <v>3.5999999999999997E-2</v>
      </c>
      <c r="AA253">
        <v>0</v>
      </c>
      <c r="AB253">
        <v>440.91</v>
      </c>
      <c r="AC253">
        <v>11.6</v>
      </c>
      <c r="AD253">
        <v>0</v>
      </c>
      <c r="AE253">
        <v>0</v>
      </c>
      <c r="AF253">
        <v>65.709999999999994</v>
      </c>
      <c r="AG253">
        <v>11.6</v>
      </c>
      <c r="AH253">
        <v>0</v>
      </c>
      <c r="AI253">
        <v>1</v>
      </c>
      <c r="AJ253">
        <v>6.71</v>
      </c>
      <c r="AK253">
        <v>1</v>
      </c>
      <c r="AL253">
        <v>1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6</v>
      </c>
      <c r="AT253">
        <v>0.03</v>
      </c>
      <c r="AU253" t="s">
        <v>443</v>
      </c>
      <c r="AV253">
        <v>0</v>
      </c>
      <c r="AW253">
        <v>2</v>
      </c>
      <c r="AX253">
        <v>16808917</v>
      </c>
      <c r="AY253">
        <v>1</v>
      </c>
      <c r="AZ253">
        <v>0</v>
      </c>
      <c r="BA253">
        <v>235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Y253*Source!I189</f>
        <v>7.1999999999999998E-3</v>
      </c>
      <c r="CY253">
        <f>AB253</f>
        <v>440.91</v>
      </c>
      <c r="CZ253">
        <f>AF253</f>
        <v>65.709999999999994</v>
      </c>
      <c r="DA253">
        <f>AJ253</f>
        <v>6.71</v>
      </c>
      <c r="DB253">
        <f>ROUND((ROUND(AT253*CZ253,2)*1.2),2)</f>
        <v>2.36</v>
      </c>
      <c r="DC253">
        <f>ROUND((ROUND(AT253*AG253,2)*1.2),2)</f>
        <v>0.42</v>
      </c>
    </row>
    <row r="254" spans="1:107" x14ac:dyDescent="0.2">
      <c r="A254">
        <f>ROW(Source!A189)</f>
        <v>189</v>
      </c>
      <c r="B254">
        <v>16808636</v>
      </c>
      <c r="C254">
        <v>16808902</v>
      </c>
      <c r="D254">
        <v>15167588</v>
      </c>
      <c r="E254">
        <v>1</v>
      </c>
      <c r="F254">
        <v>1</v>
      </c>
      <c r="G254">
        <v>1</v>
      </c>
      <c r="H254">
        <v>3</v>
      </c>
      <c r="I254" t="s">
        <v>727</v>
      </c>
      <c r="J254" t="s">
        <v>728</v>
      </c>
      <c r="K254" t="s">
        <v>729</v>
      </c>
      <c r="L254">
        <v>1346</v>
      </c>
      <c r="N254">
        <v>1009</v>
      </c>
      <c r="O254" t="s">
        <v>300</v>
      </c>
      <c r="P254" t="s">
        <v>300</v>
      </c>
      <c r="Q254">
        <v>1</v>
      </c>
      <c r="W254">
        <v>0</v>
      </c>
      <c r="X254">
        <v>-1088866022</v>
      </c>
      <c r="Y254">
        <v>0.32</v>
      </c>
      <c r="AA254">
        <v>203.98</v>
      </c>
      <c r="AB254">
        <v>0</v>
      </c>
      <c r="AC254">
        <v>0</v>
      </c>
      <c r="AD254">
        <v>0</v>
      </c>
      <c r="AE254">
        <v>30.4</v>
      </c>
      <c r="AF254">
        <v>0</v>
      </c>
      <c r="AG254">
        <v>0</v>
      </c>
      <c r="AH254">
        <v>0</v>
      </c>
      <c r="AI254">
        <v>6.71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6</v>
      </c>
      <c r="AT254">
        <v>0.32</v>
      </c>
      <c r="AU254" t="s">
        <v>6</v>
      </c>
      <c r="AV254">
        <v>0</v>
      </c>
      <c r="AW254">
        <v>2</v>
      </c>
      <c r="AX254">
        <v>16808918</v>
      </c>
      <c r="AY254">
        <v>1</v>
      </c>
      <c r="AZ254">
        <v>0</v>
      </c>
      <c r="BA254">
        <v>236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Y254*Source!I189</f>
        <v>6.4000000000000001E-2</v>
      </c>
      <c r="CY254">
        <f t="shared" ref="CY254:CY260" si="49">AA254</f>
        <v>203.98</v>
      </c>
      <c r="CZ254">
        <f t="shared" ref="CZ254:CZ260" si="50">AE254</f>
        <v>30.4</v>
      </c>
      <c r="DA254">
        <f t="shared" ref="DA254:DA260" si="51">AI254</f>
        <v>6.71</v>
      </c>
      <c r="DB254">
        <f t="shared" ref="DB254:DB260" si="52">ROUND(ROUND(AT254*CZ254,2),2)</f>
        <v>9.73</v>
      </c>
      <c r="DC254">
        <f t="shared" ref="DC254:DC260" si="53">ROUND(ROUND(AT254*AG254,2),2)</f>
        <v>0</v>
      </c>
    </row>
    <row r="255" spans="1:107" x14ac:dyDescent="0.2">
      <c r="A255">
        <f>ROW(Source!A189)</f>
        <v>189</v>
      </c>
      <c r="B255">
        <v>16808636</v>
      </c>
      <c r="C255">
        <v>16808902</v>
      </c>
      <c r="D255">
        <v>15167867</v>
      </c>
      <c r="E255">
        <v>1</v>
      </c>
      <c r="F255">
        <v>1</v>
      </c>
      <c r="G255">
        <v>1</v>
      </c>
      <c r="H255">
        <v>3</v>
      </c>
      <c r="I255" t="s">
        <v>929</v>
      </c>
      <c r="J255" t="s">
        <v>930</v>
      </c>
      <c r="K255" t="s">
        <v>931</v>
      </c>
      <c r="L255">
        <v>1348</v>
      </c>
      <c r="N255">
        <v>1009</v>
      </c>
      <c r="O255" t="s">
        <v>104</v>
      </c>
      <c r="P255" t="s">
        <v>104</v>
      </c>
      <c r="Q255">
        <v>1000</v>
      </c>
      <c r="W255">
        <v>0</v>
      </c>
      <c r="X255">
        <v>1012095217</v>
      </c>
      <c r="Y255">
        <v>1.0499999999999999E-3</v>
      </c>
      <c r="AA255">
        <v>12212.2</v>
      </c>
      <c r="AB255">
        <v>0</v>
      </c>
      <c r="AC255">
        <v>0</v>
      </c>
      <c r="AD255">
        <v>0</v>
      </c>
      <c r="AE255">
        <v>1820</v>
      </c>
      <c r="AF255">
        <v>0</v>
      </c>
      <c r="AG255">
        <v>0</v>
      </c>
      <c r="AH255">
        <v>0</v>
      </c>
      <c r="AI255">
        <v>6.71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6</v>
      </c>
      <c r="AT255">
        <v>1.0499999999999999E-3</v>
      </c>
      <c r="AU255" t="s">
        <v>6</v>
      </c>
      <c r="AV255">
        <v>0</v>
      </c>
      <c r="AW255">
        <v>2</v>
      </c>
      <c r="AX255">
        <v>16808919</v>
      </c>
      <c r="AY255">
        <v>1</v>
      </c>
      <c r="AZ255">
        <v>0</v>
      </c>
      <c r="BA255">
        <v>237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Y255*Source!I189</f>
        <v>2.1000000000000001E-4</v>
      </c>
      <c r="CY255">
        <f t="shared" si="49"/>
        <v>12212.2</v>
      </c>
      <c r="CZ255">
        <f t="shared" si="50"/>
        <v>1820</v>
      </c>
      <c r="DA255">
        <f t="shared" si="51"/>
        <v>6.71</v>
      </c>
      <c r="DB255">
        <f t="shared" si="52"/>
        <v>1.91</v>
      </c>
      <c r="DC255">
        <f t="shared" si="53"/>
        <v>0</v>
      </c>
    </row>
    <row r="256" spans="1:107" x14ac:dyDescent="0.2">
      <c r="A256">
        <f>ROW(Source!A189)</f>
        <v>189</v>
      </c>
      <c r="B256">
        <v>16808636</v>
      </c>
      <c r="C256">
        <v>16808902</v>
      </c>
      <c r="D256">
        <v>15203834</v>
      </c>
      <c r="E256">
        <v>1</v>
      </c>
      <c r="F256">
        <v>1</v>
      </c>
      <c r="G256">
        <v>1</v>
      </c>
      <c r="H256">
        <v>3</v>
      </c>
      <c r="I256" t="s">
        <v>932</v>
      </c>
      <c r="J256" t="s">
        <v>933</v>
      </c>
      <c r="K256" t="s">
        <v>934</v>
      </c>
      <c r="L256">
        <v>1346</v>
      </c>
      <c r="N256">
        <v>1009</v>
      </c>
      <c r="O256" t="s">
        <v>300</v>
      </c>
      <c r="P256" t="s">
        <v>300</v>
      </c>
      <c r="Q256">
        <v>1</v>
      </c>
      <c r="W256">
        <v>0</v>
      </c>
      <c r="X256">
        <v>210558753</v>
      </c>
      <c r="Y256">
        <v>0.02</v>
      </c>
      <c r="AA256">
        <v>191.91</v>
      </c>
      <c r="AB256">
        <v>0</v>
      </c>
      <c r="AC256">
        <v>0</v>
      </c>
      <c r="AD256">
        <v>0</v>
      </c>
      <c r="AE256">
        <v>28.6</v>
      </c>
      <c r="AF256">
        <v>0</v>
      </c>
      <c r="AG256">
        <v>0</v>
      </c>
      <c r="AH256">
        <v>0</v>
      </c>
      <c r="AI256">
        <v>6.71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6</v>
      </c>
      <c r="AT256">
        <v>0.02</v>
      </c>
      <c r="AU256" t="s">
        <v>6</v>
      </c>
      <c r="AV256">
        <v>0</v>
      </c>
      <c r="AW256">
        <v>2</v>
      </c>
      <c r="AX256">
        <v>16808920</v>
      </c>
      <c r="AY256">
        <v>1</v>
      </c>
      <c r="AZ256">
        <v>0</v>
      </c>
      <c r="BA256">
        <v>238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Y256*Source!I189</f>
        <v>4.0000000000000001E-3</v>
      </c>
      <c r="CY256">
        <f t="shared" si="49"/>
        <v>191.91</v>
      </c>
      <c r="CZ256">
        <f t="shared" si="50"/>
        <v>28.6</v>
      </c>
      <c r="DA256">
        <f t="shared" si="51"/>
        <v>6.71</v>
      </c>
      <c r="DB256">
        <f t="shared" si="52"/>
        <v>0.56999999999999995</v>
      </c>
      <c r="DC256">
        <f t="shared" si="53"/>
        <v>0</v>
      </c>
    </row>
    <row r="257" spans="1:107" x14ac:dyDescent="0.2">
      <c r="A257">
        <f>ROW(Source!A189)</f>
        <v>189</v>
      </c>
      <c r="B257">
        <v>16808636</v>
      </c>
      <c r="C257">
        <v>16808902</v>
      </c>
      <c r="D257">
        <v>15217529</v>
      </c>
      <c r="E257">
        <v>1</v>
      </c>
      <c r="F257">
        <v>1</v>
      </c>
      <c r="G257">
        <v>1</v>
      </c>
      <c r="H257">
        <v>3</v>
      </c>
      <c r="I257" t="s">
        <v>935</v>
      </c>
      <c r="J257" t="s">
        <v>936</v>
      </c>
      <c r="K257" t="s">
        <v>937</v>
      </c>
      <c r="L257">
        <v>1355</v>
      </c>
      <c r="N257">
        <v>1010</v>
      </c>
      <c r="O257" t="s">
        <v>326</v>
      </c>
      <c r="P257" t="s">
        <v>326</v>
      </c>
      <c r="Q257">
        <v>100</v>
      </c>
      <c r="W257">
        <v>0</v>
      </c>
      <c r="X257">
        <v>-1427219203</v>
      </c>
      <c r="Y257">
        <v>0.05</v>
      </c>
      <c r="AA257">
        <v>959.53</v>
      </c>
      <c r="AB257">
        <v>0</v>
      </c>
      <c r="AC257">
        <v>0</v>
      </c>
      <c r="AD257">
        <v>0</v>
      </c>
      <c r="AE257">
        <v>143</v>
      </c>
      <c r="AF257">
        <v>0</v>
      </c>
      <c r="AG257">
        <v>0</v>
      </c>
      <c r="AH257">
        <v>0</v>
      </c>
      <c r="AI257">
        <v>6.71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6</v>
      </c>
      <c r="AT257">
        <v>0.05</v>
      </c>
      <c r="AU257" t="s">
        <v>6</v>
      </c>
      <c r="AV257">
        <v>0</v>
      </c>
      <c r="AW257">
        <v>2</v>
      </c>
      <c r="AX257">
        <v>16808921</v>
      </c>
      <c r="AY257">
        <v>1</v>
      </c>
      <c r="AZ257">
        <v>0</v>
      </c>
      <c r="BA257">
        <v>239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Y257*Source!I189</f>
        <v>1.0000000000000002E-2</v>
      </c>
      <c r="CY257">
        <f t="shared" si="49"/>
        <v>959.53</v>
      </c>
      <c r="CZ257">
        <f t="shared" si="50"/>
        <v>143</v>
      </c>
      <c r="DA257">
        <f t="shared" si="51"/>
        <v>6.71</v>
      </c>
      <c r="DB257">
        <f t="shared" si="52"/>
        <v>7.15</v>
      </c>
      <c r="DC257">
        <f t="shared" si="53"/>
        <v>0</v>
      </c>
    </row>
    <row r="258" spans="1:107" x14ac:dyDescent="0.2">
      <c r="A258">
        <f>ROW(Source!A189)</f>
        <v>189</v>
      </c>
      <c r="B258">
        <v>16808636</v>
      </c>
      <c r="C258">
        <v>16808902</v>
      </c>
      <c r="D258">
        <v>15217579</v>
      </c>
      <c r="E258">
        <v>1</v>
      </c>
      <c r="F258">
        <v>1</v>
      </c>
      <c r="G258">
        <v>1</v>
      </c>
      <c r="H258">
        <v>3</v>
      </c>
      <c r="I258" t="s">
        <v>938</v>
      </c>
      <c r="J258" t="s">
        <v>939</v>
      </c>
      <c r="K258" t="s">
        <v>940</v>
      </c>
      <c r="L258">
        <v>1356</v>
      </c>
      <c r="N258">
        <v>1010</v>
      </c>
      <c r="O258" t="s">
        <v>744</v>
      </c>
      <c r="P258" t="s">
        <v>744</v>
      </c>
      <c r="Q258">
        <v>1000</v>
      </c>
      <c r="W258">
        <v>0</v>
      </c>
      <c r="X258">
        <v>2033598199</v>
      </c>
      <c r="Y258">
        <v>1.2200000000000001E-2</v>
      </c>
      <c r="AA258">
        <v>1182.3699999999999</v>
      </c>
      <c r="AB258">
        <v>0</v>
      </c>
      <c r="AC258">
        <v>0</v>
      </c>
      <c r="AD258">
        <v>0</v>
      </c>
      <c r="AE258">
        <v>176.21</v>
      </c>
      <c r="AF258">
        <v>0</v>
      </c>
      <c r="AG258">
        <v>0</v>
      </c>
      <c r="AH258">
        <v>0</v>
      </c>
      <c r="AI258">
        <v>6.71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6</v>
      </c>
      <c r="AT258">
        <v>1.2200000000000001E-2</v>
      </c>
      <c r="AU258" t="s">
        <v>6</v>
      </c>
      <c r="AV258">
        <v>0</v>
      </c>
      <c r="AW258">
        <v>2</v>
      </c>
      <c r="AX258">
        <v>16808922</v>
      </c>
      <c r="AY258">
        <v>1</v>
      </c>
      <c r="AZ258">
        <v>0</v>
      </c>
      <c r="BA258">
        <v>240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Y258*Source!I189</f>
        <v>2.4400000000000003E-3</v>
      </c>
      <c r="CY258">
        <f t="shared" si="49"/>
        <v>1182.3699999999999</v>
      </c>
      <c r="CZ258">
        <f t="shared" si="50"/>
        <v>176.21</v>
      </c>
      <c r="DA258">
        <f t="shared" si="51"/>
        <v>6.71</v>
      </c>
      <c r="DB258">
        <f t="shared" si="52"/>
        <v>2.15</v>
      </c>
      <c r="DC258">
        <f t="shared" si="53"/>
        <v>0</v>
      </c>
    </row>
    <row r="259" spans="1:107" x14ac:dyDescent="0.2">
      <c r="A259">
        <f>ROW(Source!A189)</f>
        <v>189</v>
      </c>
      <c r="B259">
        <v>16808636</v>
      </c>
      <c r="C259">
        <v>16808902</v>
      </c>
      <c r="D259">
        <v>15223029</v>
      </c>
      <c r="E259">
        <v>1</v>
      </c>
      <c r="F259">
        <v>1</v>
      </c>
      <c r="G259">
        <v>1</v>
      </c>
      <c r="H259">
        <v>3</v>
      </c>
      <c r="I259" t="s">
        <v>461</v>
      </c>
      <c r="J259" t="s">
        <v>464</v>
      </c>
      <c r="K259" t="s">
        <v>462</v>
      </c>
      <c r="L259">
        <v>1477</v>
      </c>
      <c r="N259">
        <v>1013</v>
      </c>
      <c r="O259" t="s">
        <v>463</v>
      </c>
      <c r="P259" t="s">
        <v>465</v>
      </c>
      <c r="Q259">
        <v>1</v>
      </c>
      <c r="W259">
        <v>0</v>
      </c>
      <c r="X259">
        <v>559331636</v>
      </c>
      <c r="Y259">
        <v>0.1</v>
      </c>
      <c r="AA259">
        <v>46435.95</v>
      </c>
      <c r="AB259">
        <v>0</v>
      </c>
      <c r="AC259">
        <v>0</v>
      </c>
      <c r="AD259">
        <v>0</v>
      </c>
      <c r="AE259">
        <v>6920.41</v>
      </c>
      <c r="AF259">
        <v>0</v>
      </c>
      <c r="AG259">
        <v>0</v>
      </c>
      <c r="AH259">
        <v>0</v>
      </c>
      <c r="AI259">
        <v>6.71</v>
      </c>
      <c r="AJ259">
        <v>1</v>
      </c>
      <c r="AK259">
        <v>1</v>
      </c>
      <c r="AL259">
        <v>1</v>
      </c>
      <c r="AN259">
        <v>0</v>
      </c>
      <c r="AO259">
        <v>0</v>
      </c>
      <c r="AP259">
        <v>0</v>
      </c>
      <c r="AQ259">
        <v>0</v>
      </c>
      <c r="AR259">
        <v>0</v>
      </c>
      <c r="AS259" t="s">
        <v>6</v>
      </c>
      <c r="AT259">
        <v>0.1</v>
      </c>
      <c r="AU259" t="s">
        <v>6</v>
      </c>
      <c r="AV259">
        <v>0</v>
      </c>
      <c r="AW259">
        <v>1</v>
      </c>
      <c r="AX259">
        <v>-1</v>
      </c>
      <c r="AY259">
        <v>0</v>
      </c>
      <c r="AZ259">
        <v>0</v>
      </c>
      <c r="BA259" t="s">
        <v>6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Y259*Source!I189</f>
        <v>2.0000000000000004E-2</v>
      </c>
      <c r="CY259">
        <f t="shared" si="49"/>
        <v>46435.95</v>
      </c>
      <c r="CZ259">
        <f t="shared" si="50"/>
        <v>6920.41</v>
      </c>
      <c r="DA259">
        <f t="shared" si="51"/>
        <v>6.71</v>
      </c>
      <c r="DB259">
        <f t="shared" si="52"/>
        <v>692.04</v>
      </c>
      <c r="DC259">
        <f t="shared" si="53"/>
        <v>0</v>
      </c>
    </row>
    <row r="260" spans="1:107" x14ac:dyDescent="0.2">
      <c r="A260">
        <f>ROW(Source!A189)</f>
        <v>189</v>
      </c>
      <c r="B260">
        <v>16808636</v>
      </c>
      <c r="C260">
        <v>16808902</v>
      </c>
      <c r="D260">
        <v>15164559</v>
      </c>
      <c r="E260">
        <v>17</v>
      </c>
      <c r="F260">
        <v>1</v>
      </c>
      <c r="G260">
        <v>1</v>
      </c>
      <c r="H260">
        <v>3</v>
      </c>
      <c r="I260" t="s">
        <v>736</v>
      </c>
      <c r="J260" t="s">
        <v>6</v>
      </c>
      <c r="K260" t="s">
        <v>737</v>
      </c>
      <c r="L260">
        <v>1374</v>
      </c>
      <c r="N260">
        <v>1013</v>
      </c>
      <c r="O260" t="s">
        <v>738</v>
      </c>
      <c r="P260" t="s">
        <v>738</v>
      </c>
      <c r="Q260">
        <v>1</v>
      </c>
      <c r="W260">
        <v>0</v>
      </c>
      <c r="X260">
        <v>-1731369543</v>
      </c>
      <c r="Y260">
        <v>1.18</v>
      </c>
      <c r="AA260">
        <v>1</v>
      </c>
      <c r="AB260">
        <v>0</v>
      </c>
      <c r="AC260">
        <v>0</v>
      </c>
      <c r="AD260">
        <v>0</v>
      </c>
      <c r="AE260">
        <v>1</v>
      </c>
      <c r="AF260">
        <v>0</v>
      </c>
      <c r="AG260">
        <v>0</v>
      </c>
      <c r="AH260">
        <v>0</v>
      </c>
      <c r="AI260">
        <v>1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6</v>
      </c>
      <c r="AT260">
        <v>1.18</v>
      </c>
      <c r="AU260" t="s">
        <v>6</v>
      </c>
      <c r="AV260">
        <v>0</v>
      </c>
      <c r="AW260">
        <v>2</v>
      </c>
      <c r="AX260">
        <v>16808923</v>
      </c>
      <c r="AY260">
        <v>1</v>
      </c>
      <c r="AZ260">
        <v>0</v>
      </c>
      <c r="BA260">
        <v>241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Y260*Source!I189</f>
        <v>0.23599999999999999</v>
      </c>
      <c r="CY260">
        <f t="shared" si="49"/>
        <v>1</v>
      </c>
      <c r="CZ260">
        <f t="shared" si="50"/>
        <v>1</v>
      </c>
      <c r="DA260">
        <f t="shared" si="51"/>
        <v>1</v>
      </c>
      <c r="DB260">
        <f t="shared" si="52"/>
        <v>1.18</v>
      </c>
      <c r="DC260">
        <f t="shared" si="53"/>
        <v>0</v>
      </c>
    </row>
    <row r="261" spans="1:107" x14ac:dyDescent="0.2">
      <c r="A261">
        <f>ROW(Source!A191)</f>
        <v>191</v>
      </c>
      <c r="B261">
        <v>16808636</v>
      </c>
      <c r="C261">
        <v>16808925</v>
      </c>
      <c r="D261">
        <v>15435721</v>
      </c>
      <c r="E261">
        <v>1</v>
      </c>
      <c r="F261">
        <v>1</v>
      </c>
      <c r="G261">
        <v>1</v>
      </c>
      <c r="H261">
        <v>1</v>
      </c>
      <c r="I261" t="s">
        <v>739</v>
      </c>
      <c r="J261" t="s">
        <v>6</v>
      </c>
      <c r="K261" t="s">
        <v>740</v>
      </c>
      <c r="L261">
        <v>1191</v>
      </c>
      <c r="N261">
        <v>1013</v>
      </c>
      <c r="O261" t="s">
        <v>708</v>
      </c>
      <c r="P261" t="s">
        <v>708</v>
      </c>
      <c r="Q261">
        <v>1</v>
      </c>
      <c r="W261">
        <v>0</v>
      </c>
      <c r="X261">
        <v>1983201532</v>
      </c>
      <c r="Y261">
        <v>24.395999999999997</v>
      </c>
      <c r="AA261">
        <v>0</v>
      </c>
      <c r="AB261">
        <v>0</v>
      </c>
      <c r="AC261">
        <v>0</v>
      </c>
      <c r="AD261">
        <v>63.81</v>
      </c>
      <c r="AE261">
        <v>0</v>
      </c>
      <c r="AF261">
        <v>0</v>
      </c>
      <c r="AG261">
        <v>0</v>
      </c>
      <c r="AH261">
        <v>9.51</v>
      </c>
      <c r="AI261">
        <v>1</v>
      </c>
      <c r="AJ261">
        <v>1</v>
      </c>
      <c r="AK261">
        <v>1</v>
      </c>
      <c r="AL261">
        <v>6.71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6</v>
      </c>
      <c r="AT261">
        <v>20.329999999999998</v>
      </c>
      <c r="AU261" t="s">
        <v>443</v>
      </c>
      <c r="AV261">
        <v>1</v>
      </c>
      <c r="AW261">
        <v>2</v>
      </c>
      <c r="AX261">
        <v>16808933</v>
      </c>
      <c r="AY261">
        <v>1</v>
      </c>
      <c r="AZ261">
        <v>0</v>
      </c>
      <c r="BA261">
        <v>242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Y261*Source!I191</f>
        <v>67.820879999999988</v>
      </c>
      <c r="CY261">
        <f>AD261</f>
        <v>63.81</v>
      </c>
      <c r="CZ261">
        <f>AH261</f>
        <v>9.51</v>
      </c>
      <c r="DA261">
        <f>AL261</f>
        <v>6.71</v>
      </c>
      <c r="DB261">
        <f>ROUND((ROUND(AT261*CZ261,2)*1.2),2)</f>
        <v>232.01</v>
      </c>
      <c r="DC261">
        <f>ROUND((ROUND(AT261*AG261,2)*1.2),2)</f>
        <v>0</v>
      </c>
    </row>
    <row r="262" spans="1:107" x14ac:dyDescent="0.2">
      <c r="A262">
        <f>ROW(Source!A191)</f>
        <v>191</v>
      </c>
      <c r="B262">
        <v>16808636</v>
      </c>
      <c r="C262">
        <v>16808925</v>
      </c>
      <c r="D262">
        <v>15430395</v>
      </c>
      <c r="E262">
        <v>1</v>
      </c>
      <c r="F262">
        <v>1</v>
      </c>
      <c r="G262">
        <v>1</v>
      </c>
      <c r="H262">
        <v>1</v>
      </c>
      <c r="I262" t="s">
        <v>709</v>
      </c>
      <c r="J262" t="s">
        <v>6</v>
      </c>
      <c r="K262" t="s">
        <v>710</v>
      </c>
      <c r="L262">
        <v>1191</v>
      </c>
      <c r="N262">
        <v>1013</v>
      </c>
      <c r="O262" t="s">
        <v>708</v>
      </c>
      <c r="P262" t="s">
        <v>708</v>
      </c>
      <c r="Q262">
        <v>1</v>
      </c>
      <c r="W262">
        <v>0</v>
      </c>
      <c r="X262">
        <v>-1417349443</v>
      </c>
      <c r="Y262">
        <v>0.01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1</v>
      </c>
      <c r="AJ262">
        <v>1</v>
      </c>
      <c r="AK262">
        <v>6.71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6</v>
      </c>
      <c r="AT262">
        <v>0.01</v>
      </c>
      <c r="AU262" t="s">
        <v>6</v>
      </c>
      <c r="AV262">
        <v>2</v>
      </c>
      <c r="AW262">
        <v>2</v>
      </c>
      <c r="AX262">
        <v>16808934</v>
      </c>
      <c r="AY262">
        <v>1</v>
      </c>
      <c r="AZ262">
        <v>2048</v>
      </c>
      <c r="BA262">
        <v>243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Y262*Source!I191</f>
        <v>2.7799999999999998E-2</v>
      </c>
      <c r="CY262">
        <f>AD262</f>
        <v>0</v>
      </c>
      <c r="CZ262">
        <f>AH262</f>
        <v>0</v>
      </c>
      <c r="DA262">
        <f>AL262</f>
        <v>1</v>
      </c>
      <c r="DB262">
        <f>ROUND(ROUND(AT262*CZ262,2),2)</f>
        <v>0</v>
      </c>
      <c r="DC262">
        <f>ROUND(ROUND(AT262*AG262,2),2)</f>
        <v>0</v>
      </c>
    </row>
    <row r="263" spans="1:107" x14ac:dyDescent="0.2">
      <c r="A263">
        <f>ROW(Source!A191)</f>
        <v>191</v>
      </c>
      <c r="B263">
        <v>16808636</v>
      </c>
      <c r="C263">
        <v>16808925</v>
      </c>
      <c r="D263">
        <v>15247974</v>
      </c>
      <c r="E263">
        <v>1</v>
      </c>
      <c r="F263">
        <v>1</v>
      </c>
      <c r="G263">
        <v>1</v>
      </c>
      <c r="H263">
        <v>2</v>
      </c>
      <c r="I263" t="s">
        <v>711</v>
      </c>
      <c r="J263" t="s">
        <v>712</v>
      </c>
      <c r="K263" t="s">
        <v>713</v>
      </c>
      <c r="L263">
        <v>1368</v>
      </c>
      <c r="N263">
        <v>1011</v>
      </c>
      <c r="O263" t="s">
        <v>714</v>
      </c>
      <c r="P263" t="s">
        <v>714</v>
      </c>
      <c r="Q263">
        <v>1</v>
      </c>
      <c r="W263">
        <v>0</v>
      </c>
      <c r="X263">
        <v>1188625873</v>
      </c>
      <c r="Y263">
        <v>1.2E-2</v>
      </c>
      <c r="AA263">
        <v>0</v>
      </c>
      <c r="AB263">
        <v>209.75</v>
      </c>
      <c r="AC263">
        <v>13.5</v>
      </c>
      <c r="AD263">
        <v>0</v>
      </c>
      <c r="AE263">
        <v>0</v>
      </c>
      <c r="AF263">
        <v>31.26</v>
      </c>
      <c r="AG263">
        <v>13.5</v>
      </c>
      <c r="AH263">
        <v>0</v>
      </c>
      <c r="AI263">
        <v>1</v>
      </c>
      <c r="AJ263">
        <v>6.71</v>
      </c>
      <c r="AK263">
        <v>1</v>
      </c>
      <c r="AL263">
        <v>1</v>
      </c>
      <c r="AN263">
        <v>0</v>
      </c>
      <c r="AO263">
        <v>1</v>
      </c>
      <c r="AP263">
        <v>1</v>
      </c>
      <c r="AQ263">
        <v>0</v>
      </c>
      <c r="AR263">
        <v>0</v>
      </c>
      <c r="AS263" t="s">
        <v>6</v>
      </c>
      <c r="AT263">
        <v>0.01</v>
      </c>
      <c r="AU263" t="s">
        <v>443</v>
      </c>
      <c r="AV263">
        <v>0</v>
      </c>
      <c r="AW263">
        <v>2</v>
      </c>
      <c r="AX263">
        <v>16808935</v>
      </c>
      <c r="AY263">
        <v>1</v>
      </c>
      <c r="AZ263">
        <v>0</v>
      </c>
      <c r="BA263">
        <v>244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Y263*Source!I191</f>
        <v>3.3360000000000001E-2</v>
      </c>
      <c r="CY263">
        <f>AB263</f>
        <v>209.75</v>
      </c>
      <c r="CZ263">
        <f>AF263</f>
        <v>31.26</v>
      </c>
      <c r="DA263">
        <f>AJ263</f>
        <v>6.71</v>
      </c>
      <c r="DB263">
        <f>ROUND((ROUND(AT263*CZ263,2)*1.2),2)</f>
        <v>0.37</v>
      </c>
      <c r="DC263">
        <f>ROUND((ROUND(AT263*AG263,2)*1.2),2)</f>
        <v>0.17</v>
      </c>
    </row>
    <row r="264" spans="1:107" x14ac:dyDescent="0.2">
      <c r="A264">
        <f>ROW(Source!A191)</f>
        <v>191</v>
      </c>
      <c r="B264">
        <v>16808636</v>
      </c>
      <c r="C264">
        <v>16808925</v>
      </c>
      <c r="D264">
        <v>15170076</v>
      </c>
      <c r="E264">
        <v>1</v>
      </c>
      <c r="F264">
        <v>1</v>
      </c>
      <c r="G264">
        <v>1</v>
      </c>
      <c r="H264">
        <v>3</v>
      </c>
      <c r="I264" t="s">
        <v>741</v>
      </c>
      <c r="J264" t="s">
        <v>742</v>
      </c>
      <c r="K264" t="s">
        <v>743</v>
      </c>
      <c r="L264">
        <v>1356</v>
      </c>
      <c r="N264">
        <v>1010</v>
      </c>
      <c r="O264" t="s">
        <v>744</v>
      </c>
      <c r="P264" t="s">
        <v>744</v>
      </c>
      <c r="Q264">
        <v>1000</v>
      </c>
      <c r="W264">
        <v>0</v>
      </c>
      <c r="X264">
        <v>1975348994</v>
      </c>
      <c r="Y264">
        <v>0.4</v>
      </c>
      <c r="AA264">
        <v>1207.8</v>
      </c>
      <c r="AB264">
        <v>0</v>
      </c>
      <c r="AC264">
        <v>0</v>
      </c>
      <c r="AD264">
        <v>0</v>
      </c>
      <c r="AE264">
        <v>180</v>
      </c>
      <c r="AF264">
        <v>0</v>
      </c>
      <c r="AG264">
        <v>0</v>
      </c>
      <c r="AH264">
        <v>0</v>
      </c>
      <c r="AI264">
        <v>6.71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6</v>
      </c>
      <c r="AT264">
        <v>0.4</v>
      </c>
      <c r="AU264" t="s">
        <v>6</v>
      </c>
      <c r="AV264">
        <v>0</v>
      </c>
      <c r="AW264">
        <v>2</v>
      </c>
      <c r="AX264">
        <v>16808936</v>
      </c>
      <c r="AY264">
        <v>1</v>
      </c>
      <c r="AZ264">
        <v>0</v>
      </c>
      <c r="BA264">
        <v>245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Y264*Source!I191</f>
        <v>1.1119999999999999</v>
      </c>
      <c r="CY264">
        <f>AA264</f>
        <v>1207.8</v>
      </c>
      <c r="CZ264">
        <f>AE264</f>
        <v>180</v>
      </c>
      <c r="DA264">
        <f>AI264</f>
        <v>6.71</v>
      </c>
      <c r="DB264">
        <f>ROUND(ROUND(AT264*CZ264,2),2)</f>
        <v>72</v>
      </c>
      <c r="DC264">
        <f>ROUND(ROUND(AT264*AG264,2),2)</f>
        <v>0</v>
      </c>
    </row>
    <row r="265" spans="1:107" x14ac:dyDescent="0.2">
      <c r="A265">
        <f>ROW(Source!A191)</f>
        <v>191</v>
      </c>
      <c r="B265">
        <v>16808636</v>
      </c>
      <c r="C265">
        <v>16808925</v>
      </c>
      <c r="D265">
        <v>15170438</v>
      </c>
      <c r="E265">
        <v>1</v>
      </c>
      <c r="F265">
        <v>1</v>
      </c>
      <c r="G265">
        <v>1</v>
      </c>
      <c r="H265">
        <v>3</v>
      </c>
      <c r="I265" t="s">
        <v>745</v>
      </c>
      <c r="J265" t="s">
        <v>746</v>
      </c>
      <c r="K265" t="s">
        <v>747</v>
      </c>
      <c r="L265">
        <v>1348</v>
      </c>
      <c r="N265">
        <v>1009</v>
      </c>
      <c r="O265" t="s">
        <v>104</v>
      </c>
      <c r="P265" t="s">
        <v>104</v>
      </c>
      <c r="Q265">
        <v>1000</v>
      </c>
      <c r="W265">
        <v>0</v>
      </c>
      <c r="X265">
        <v>-1755229539</v>
      </c>
      <c r="Y265">
        <v>1.4E-3</v>
      </c>
      <c r="AA265">
        <v>83405.3</v>
      </c>
      <c r="AB265">
        <v>0</v>
      </c>
      <c r="AC265">
        <v>0</v>
      </c>
      <c r="AD265">
        <v>0</v>
      </c>
      <c r="AE265">
        <v>12430</v>
      </c>
      <c r="AF265">
        <v>0</v>
      </c>
      <c r="AG265">
        <v>0</v>
      </c>
      <c r="AH265">
        <v>0</v>
      </c>
      <c r="AI265">
        <v>6.71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6</v>
      </c>
      <c r="AT265">
        <v>1.4E-3</v>
      </c>
      <c r="AU265" t="s">
        <v>6</v>
      </c>
      <c r="AV265">
        <v>0</v>
      </c>
      <c r="AW265">
        <v>2</v>
      </c>
      <c r="AX265">
        <v>16808937</v>
      </c>
      <c r="AY265">
        <v>1</v>
      </c>
      <c r="AZ265">
        <v>0</v>
      </c>
      <c r="BA265">
        <v>246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Y265*Source!I191</f>
        <v>3.8919999999999996E-3</v>
      </c>
      <c r="CY265">
        <f>AA265</f>
        <v>83405.3</v>
      </c>
      <c r="CZ265">
        <f>AE265</f>
        <v>12430</v>
      </c>
      <c r="DA265">
        <f>AI265</f>
        <v>6.71</v>
      </c>
      <c r="DB265">
        <f>ROUND(ROUND(AT265*CZ265,2),2)</f>
        <v>17.399999999999999</v>
      </c>
      <c r="DC265">
        <f>ROUND(ROUND(AT265*AG265,2),2)</f>
        <v>0</v>
      </c>
    </row>
    <row r="266" spans="1:107" x14ac:dyDescent="0.2">
      <c r="A266">
        <f>ROW(Source!A191)</f>
        <v>191</v>
      </c>
      <c r="B266">
        <v>16808636</v>
      </c>
      <c r="C266">
        <v>16808925</v>
      </c>
      <c r="D266">
        <v>15218446</v>
      </c>
      <c r="E266">
        <v>1</v>
      </c>
      <c r="F266">
        <v>1</v>
      </c>
      <c r="G266">
        <v>1</v>
      </c>
      <c r="H266">
        <v>3</v>
      </c>
      <c r="I266" t="s">
        <v>471</v>
      </c>
      <c r="J266" t="s">
        <v>473</v>
      </c>
      <c r="K266" t="s">
        <v>472</v>
      </c>
      <c r="L266">
        <v>1308</v>
      </c>
      <c r="N266">
        <v>1003</v>
      </c>
      <c r="O266" t="s">
        <v>40</v>
      </c>
      <c r="P266" t="s">
        <v>40</v>
      </c>
      <c r="Q266">
        <v>100</v>
      </c>
      <c r="W266">
        <v>0</v>
      </c>
      <c r="X266">
        <v>625208561</v>
      </c>
      <c r="Y266">
        <v>1</v>
      </c>
      <c r="AA266">
        <v>47996.7</v>
      </c>
      <c r="AB266">
        <v>0</v>
      </c>
      <c r="AC266">
        <v>0</v>
      </c>
      <c r="AD266">
        <v>0</v>
      </c>
      <c r="AE266">
        <v>7153.01</v>
      </c>
      <c r="AF266">
        <v>0</v>
      </c>
      <c r="AG266">
        <v>0</v>
      </c>
      <c r="AH266">
        <v>0</v>
      </c>
      <c r="AI266">
        <v>6.71</v>
      </c>
      <c r="AJ266">
        <v>1</v>
      </c>
      <c r="AK266">
        <v>1</v>
      </c>
      <c r="AL266">
        <v>1</v>
      </c>
      <c r="AN266">
        <v>0</v>
      </c>
      <c r="AO266">
        <v>0</v>
      </c>
      <c r="AP266">
        <v>0</v>
      </c>
      <c r="AQ266">
        <v>0</v>
      </c>
      <c r="AR266">
        <v>0</v>
      </c>
      <c r="AS266" t="s">
        <v>6</v>
      </c>
      <c r="AT266">
        <v>1</v>
      </c>
      <c r="AU266" t="s">
        <v>6</v>
      </c>
      <c r="AV266">
        <v>0</v>
      </c>
      <c r="AW266">
        <v>1</v>
      </c>
      <c r="AX266">
        <v>-1</v>
      </c>
      <c r="AY266">
        <v>0</v>
      </c>
      <c r="AZ266">
        <v>0</v>
      </c>
      <c r="BA266" t="s">
        <v>6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Y266*Source!I191</f>
        <v>2.78</v>
      </c>
      <c r="CY266">
        <f>AA266</f>
        <v>47996.7</v>
      </c>
      <c r="CZ266">
        <f>AE266</f>
        <v>7153.01</v>
      </c>
      <c r="DA266">
        <f>AI266</f>
        <v>6.71</v>
      </c>
      <c r="DB266">
        <f>ROUND(ROUND(AT266*CZ266,2),2)</f>
        <v>7153.01</v>
      </c>
      <c r="DC266">
        <f>ROUND(ROUND(AT266*AG266,2),2)</f>
        <v>0</v>
      </c>
    </row>
    <row r="267" spans="1:107" x14ac:dyDescent="0.2">
      <c r="A267">
        <f>ROW(Source!A191)</f>
        <v>191</v>
      </c>
      <c r="B267">
        <v>16808636</v>
      </c>
      <c r="C267">
        <v>16808925</v>
      </c>
      <c r="D267">
        <v>15164559</v>
      </c>
      <c r="E267">
        <v>17</v>
      </c>
      <c r="F267">
        <v>1</v>
      </c>
      <c r="G267">
        <v>1</v>
      </c>
      <c r="H267">
        <v>3</v>
      </c>
      <c r="I267" t="s">
        <v>736</v>
      </c>
      <c r="J267" t="s">
        <v>6</v>
      </c>
      <c r="K267" t="s">
        <v>737</v>
      </c>
      <c r="L267">
        <v>1374</v>
      </c>
      <c r="N267">
        <v>1013</v>
      </c>
      <c r="O267" t="s">
        <v>738</v>
      </c>
      <c r="P267" t="s">
        <v>738</v>
      </c>
      <c r="Q267">
        <v>1</v>
      </c>
      <c r="W267">
        <v>0</v>
      </c>
      <c r="X267">
        <v>-1731369543</v>
      </c>
      <c r="Y267">
        <v>3.87</v>
      </c>
      <c r="AA267">
        <v>1</v>
      </c>
      <c r="AB267">
        <v>0</v>
      </c>
      <c r="AC267">
        <v>0</v>
      </c>
      <c r="AD267">
        <v>0</v>
      </c>
      <c r="AE267">
        <v>1</v>
      </c>
      <c r="AF267">
        <v>0</v>
      </c>
      <c r="AG267">
        <v>0</v>
      </c>
      <c r="AH267">
        <v>0</v>
      </c>
      <c r="AI267">
        <v>1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6</v>
      </c>
      <c r="AT267">
        <v>3.87</v>
      </c>
      <c r="AU267" t="s">
        <v>6</v>
      </c>
      <c r="AV267">
        <v>0</v>
      </c>
      <c r="AW267">
        <v>2</v>
      </c>
      <c r="AX267">
        <v>16808938</v>
      </c>
      <c r="AY267">
        <v>1</v>
      </c>
      <c r="AZ267">
        <v>0</v>
      </c>
      <c r="BA267">
        <v>247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Y267*Source!I191</f>
        <v>10.758599999999999</v>
      </c>
      <c r="CY267">
        <f>AA267</f>
        <v>1</v>
      </c>
      <c r="CZ267">
        <f>AE267</f>
        <v>1</v>
      </c>
      <c r="DA267">
        <f>AI267</f>
        <v>1</v>
      </c>
      <c r="DB267">
        <f>ROUND(ROUND(AT267*CZ267,2),2)</f>
        <v>3.87</v>
      </c>
      <c r="DC267">
        <f>ROUND(ROUND(AT267*AG267,2),2)</f>
        <v>0</v>
      </c>
    </row>
    <row r="268" spans="1:107" x14ac:dyDescent="0.2">
      <c r="A268">
        <f>ROW(Source!A193)</f>
        <v>193</v>
      </c>
      <c r="B268">
        <v>16808636</v>
      </c>
      <c r="C268">
        <v>16808940</v>
      </c>
      <c r="D268">
        <v>15435721</v>
      </c>
      <c r="E268">
        <v>1</v>
      </c>
      <c r="F268">
        <v>1</v>
      </c>
      <c r="G268">
        <v>1</v>
      </c>
      <c r="H268">
        <v>1</v>
      </c>
      <c r="I268" t="s">
        <v>739</v>
      </c>
      <c r="J268" t="s">
        <v>6</v>
      </c>
      <c r="K268" t="s">
        <v>740</v>
      </c>
      <c r="L268">
        <v>1191</v>
      </c>
      <c r="N268">
        <v>1013</v>
      </c>
      <c r="O268" t="s">
        <v>708</v>
      </c>
      <c r="P268" t="s">
        <v>708</v>
      </c>
      <c r="Q268">
        <v>1</v>
      </c>
      <c r="W268">
        <v>0</v>
      </c>
      <c r="X268">
        <v>1983201532</v>
      </c>
      <c r="Y268">
        <v>19.547999999999998</v>
      </c>
      <c r="AA268">
        <v>0</v>
      </c>
      <c r="AB268">
        <v>0</v>
      </c>
      <c r="AC268">
        <v>0</v>
      </c>
      <c r="AD268">
        <v>63.81</v>
      </c>
      <c r="AE268">
        <v>0</v>
      </c>
      <c r="AF268">
        <v>0</v>
      </c>
      <c r="AG268">
        <v>0</v>
      </c>
      <c r="AH268">
        <v>9.51</v>
      </c>
      <c r="AI268">
        <v>1</v>
      </c>
      <c r="AJ268">
        <v>1</v>
      </c>
      <c r="AK268">
        <v>1</v>
      </c>
      <c r="AL268">
        <v>6.71</v>
      </c>
      <c r="AN268">
        <v>0</v>
      </c>
      <c r="AO268">
        <v>1</v>
      </c>
      <c r="AP268">
        <v>1</v>
      </c>
      <c r="AQ268">
        <v>0</v>
      </c>
      <c r="AR268">
        <v>0</v>
      </c>
      <c r="AS268" t="s">
        <v>6</v>
      </c>
      <c r="AT268">
        <v>16.29</v>
      </c>
      <c r="AU268" t="s">
        <v>443</v>
      </c>
      <c r="AV268">
        <v>1</v>
      </c>
      <c r="AW268">
        <v>2</v>
      </c>
      <c r="AX268">
        <v>16808948</v>
      </c>
      <c r="AY268">
        <v>1</v>
      </c>
      <c r="AZ268">
        <v>0</v>
      </c>
      <c r="BA268">
        <v>248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Y268*Source!I193</f>
        <v>29.126519999999996</v>
      </c>
      <c r="CY268">
        <f>AD268</f>
        <v>63.81</v>
      </c>
      <c r="CZ268">
        <f>AH268</f>
        <v>9.51</v>
      </c>
      <c r="DA268">
        <f>AL268</f>
        <v>6.71</v>
      </c>
      <c r="DB268">
        <f>ROUND((ROUND(AT268*CZ268,2)*1.2),2)</f>
        <v>185.9</v>
      </c>
      <c r="DC268">
        <f>ROUND((ROUND(AT268*AG268,2)*1.2),2)</f>
        <v>0</v>
      </c>
    </row>
    <row r="269" spans="1:107" x14ac:dyDescent="0.2">
      <c r="A269">
        <f>ROW(Source!A193)</f>
        <v>193</v>
      </c>
      <c r="B269">
        <v>16808636</v>
      </c>
      <c r="C269">
        <v>16808940</v>
      </c>
      <c r="D269">
        <v>15430395</v>
      </c>
      <c r="E269">
        <v>1</v>
      </c>
      <c r="F269">
        <v>1</v>
      </c>
      <c r="G269">
        <v>1</v>
      </c>
      <c r="H269">
        <v>1</v>
      </c>
      <c r="I269" t="s">
        <v>709</v>
      </c>
      <c r="J269" t="s">
        <v>6</v>
      </c>
      <c r="K269" t="s">
        <v>710</v>
      </c>
      <c r="L269">
        <v>1191</v>
      </c>
      <c r="N269">
        <v>1013</v>
      </c>
      <c r="O269" t="s">
        <v>708</v>
      </c>
      <c r="P269" t="s">
        <v>708</v>
      </c>
      <c r="Q269">
        <v>1</v>
      </c>
      <c r="W269">
        <v>0</v>
      </c>
      <c r="X269">
        <v>-1417349443</v>
      </c>
      <c r="Y269">
        <v>0.01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1</v>
      </c>
      <c r="AJ269">
        <v>1</v>
      </c>
      <c r="AK269">
        <v>6.71</v>
      </c>
      <c r="AL269">
        <v>1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6</v>
      </c>
      <c r="AT269">
        <v>0.01</v>
      </c>
      <c r="AU269" t="s">
        <v>6</v>
      </c>
      <c r="AV269">
        <v>2</v>
      </c>
      <c r="AW269">
        <v>2</v>
      </c>
      <c r="AX269">
        <v>16808949</v>
      </c>
      <c r="AY269">
        <v>1</v>
      </c>
      <c r="AZ269">
        <v>2048</v>
      </c>
      <c r="BA269">
        <v>249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Y269*Source!I193</f>
        <v>1.49E-2</v>
      </c>
      <c r="CY269">
        <f>AD269</f>
        <v>0</v>
      </c>
      <c r="CZ269">
        <f>AH269</f>
        <v>0</v>
      </c>
      <c r="DA269">
        <f>AL269</f>
        <v>1</v>
      </c>
      <c r="DB269">
        <f>ROUND(ROUND(AT269*CZ269,2),2)</f>
        <v>0</v>
      </c>
      <c r="DC269">
        <f>ROUND(ROUND(AT269*AG269,2),2)</f>
        <v>0</v>
      </c>
    </row>
    <row r="270" spans="1:107" x14ac:dyDescent="0.2">
      <c r="A270">
        <f>ROW(Source!A193)</f>
        <v>193</v>
      </c>
      <c r="B270">
        <v>16808636</v>
      </c>
      <c r="C270">
        <v>16808940</v>
      </c>
      <c r="D270">
        <v>15247974</v>
      </c>
      <c r="E270">
        <v>1</v>
      </c>
      <c r="F270">
        <v>1</v>
      </c>
      <c r="G270">
        <v>1</v>
      </c>
      <c r="H270">
        <v>2</v>
      </c>
      <c r="I270" t="s">
        <v>711</v>
      </c>
      <c r="J270" t="s">
        <v>712</v>
      </c>
      <c r="K270" t="s">
        <v>713</v>
      </c>
      <c r="L270">
        <v>1368</v>
      </c>
      <c r="N270">
        <v>1011</v>
      </c>
      <c r="O270" t="s">
        <v>714</v>
      </c>
      <c r="P270" t="s">
        <v>714</v>
      </c>
      <c r="Q270">
        <v>1</v>
      </c>
      <c r="W270">
        <v>0</v>
      </c>
      <c r="X270">
        <v>1188625873</v>
      </c>
      <c r="Y270">
        <v>1.2E-2</v>
      </c>
      <c r="AA270">
        <v>0</v>
      </c>
      <c r="AB270">
        <v>209.75</v>
      </c>
      <c r="AC270">
        <v>13.5</v>
      </c>
      <c r="AD270">
        <v>0</v>
      </c>
      <c r="AE270">
        <v>0</v>
      </c>
      <c r="AF270">
        <v>31.26</v>
      </c>
      <c r="AG270">
        <v>13.5</v>
      </c>
      <c r="AH270">
        <v>0</v>
      </c>
      <c r="AI270">
        <v>1</v>
      </c>
      <c r="AJ270">
        <v>6.71</v>
      </c>
      <c r="AK270">
        <v>1</v>
      </c>
      <c r="AL270">
        <v>1</v>
      </c>
      <c r="AN270">
        <v>0</v>
      </c>
      <c r="AO270">
        <v>1</v>
      </c>
      <c r="AP270">
        <v>1</v>
      </c>
      <c r="AQ270">
        <v>0</v>
      </c>
      <c r="AR270">
        <v>0</v>
      </c>
      <c r="AS270" t="s">
        <v>6</v>
      </c>
      <c r="AT270">
        <v>0.01</v>
      </c>
      <c r="AU270" t="s">
        <v>443</v>
      </c>
      <c r="AV270">
        <v>0</v>
      </c>
      <c r="AW270">
        <v>2</v>
      </c>
      <c r="AX270">
        <v>16808950</v>
      </c>
      <c r="AY270">
        <v>1</v>
      </c>
      <c r="AZ270">
        <v>0</v>
      </c>
      <c r="BA270">
        <v>250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Y270*Source!I193</f>
        <v>1.788E-2</v>
      </c>
      <c r="CY270">
        <f>AB270</f>
        <v>209.75</v>
      </c>
      <c r="CZ270">
        <f>AF270</f>
        <v>31.26</v>
      </c>
      <c r="DA270">
        <f>AJ270</f>
        <v>6.71</v>
      </c>
      <c r="DB270">
        <f>ROUND((ROUND(AT270*CZ270,2)*1.2),2)</f>
        <v>0.37</v>
      </c>
      <c r="DC270">
        <f>ROUND((ROUND(AT270*AG270,2)*1.2),2)</f>
        <v>0.17</v>
      </c>
    </row>
    <row r="271" spans="1:107" x14ac:dyDescent="0.2">
      <c r="A271">
        <f>ROW(Source!A193)</f>
        <v>193</v>
      </c>
      <c r="B271">
        <v>16808636</v>
      </c>
      <c r="C271">
        <v>16808940</v>
      </c>
      <c r="D271">
        <v>15170076</v>
      </c>
      <c r="E271">
        <v>1</v>
      </c>
      <c r="F271">
        <v>1</v>
      </c>
      <c r="G271">
        <v>1</v>
      </c>
      <c r="H271">
        <v>3</v>
      </c>
      <c r="I271" t="s">
        <v>741</v>
      </c>
      <c r="J271" t="s">
        <v>742</v>
      </c>
      <c r="K271" t="s">
        <v>743</v>
      </c>
      <c r="L271">
        <v>1356</v>
      </c>
      <c r="N271">
        <v>1010</v>
      </c>
      <c r="O271" t="s">
        <v>744</v>
      </c>
      <c r="P271" t="s">
        <v>744</v>
      </c>
      <c r="Q271">
        <v>1000</v>
      </c>
      <c r="W271">
        <v>0</v>
      </c>
      <c r="X271">
        <v>1975348994</v>
      </c>
      <c r="Y271">
        <v>0.2</v>
      </c>
      <c r="AA271">
        <v>1207.8</v>
      </c>
      <c r="AB271">
        <v>0</v>
      </c>
      <c r="AC271">
        <v>0</v>
      </c>
      <c r="AD271">
        <v>0</v>
      </c>
      <c r="AE271">
        <v>180</v>
      </c>
      <c r="AF271">
        <v>0</v>
      </c>
      <c r="AG271">
        <v>0</v>
      </c>
      <c r="AH271">
        <v>0</v>
      </c>
      <c r="AI271">
        <v>6.71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6</v>
      </c>
      <c r="AT271">
        <v>0.2</v>
      </c>
      <c r="AU271" t="s">
        <v>6</v>
      </c>
      <c r="AV271">
        <v>0</v>
      </c>
      <c r="AW271">
        <v>2</v>
      </c>
      <c r="AX271">
        <v>16808951</v>
      </c>
      <c r="AY271">
        <v>1</v>
      </c>
      <c r="AZ271">
        <v>0</v>
      </c>
      <c r="BA271">
        <v>251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Y271*Source!I193</f>
        <v>0.29799999999999999</v>
      </c>
      <c r="CY271">
        <f>AA271</f>
        <v>1207.8</v>
      </c>
      <c r="CZ271">
        <f>AE271</f>
        <v>180</v>
      </c>
      <c r="DA271">
        <f>AI271</f>
        <v>6.71</v>
      </c>
      <c r="DB271">
        <f>ROUND(ROUND(AT271*CZ271,2),2)</f>
        <v>36</v>
      </c>
      <c r="DC271">
        <f>ROUND(ROUND(AT271*AG271,2),2)</f>
        <v>0</v>
      </c>
    </row>
    <row r="272" spans="1:107" x14ac:dyDescent="0.2">
      <c r="A272">
        <f>ROW(Source!A193)</f>
        <v>193</v>
      </c>
      <c r="B272">
        <v>16808636</v>
      </c>
      <c r="C272">
        <v>16808940</v>
      </c>
      <c r="D272">
        <v>15170438</v>
      </c>
      <c r="E272">
        <v>1</v>
      </c>
      <c r="F272">
        <v>1</v>
      </c>
      <c r="G272">
        <v>1</v>
      </c>
      <c r="H272">
        <v>3</v>
      </c>
      <c r="I272" t="s">
        <v>745</v>
      </c>
      <c r="J272" t="s">
        <v>746</v>
      </c>
      <c r="K272" t="s">
        <v>747</v>
      </c>
      <c r="L272">
        <v>1348</v>
      </c>
      <c r="N272">
        <v>1009</v>
      </c>
      <c r="O272" t="s">
        <v>104</v>
      </c>
      <c r="P272" t="s">
        <v>104</v>
      </c>
      <c r="Q272">
        <v>1000</v>
      </c>
      <c r="W272">
        <v>0</v>
      </c>
      <c r="X272">
        <v>-1755229539</v>
      </c>
      <c r="Y272">
        <v>1E-3</v>
      </c>
      <c r="AA272">
        <v>83405.3</v>
      </c>
      <c r="AB272">
        <v>0</v>
      </c>
      <c r="AC272">
        <v>0</v>
      </c>
      <c r="AD272">
        <v>0</v>
      </c>
      <c r="AE272">
        <v>12430</v>
      </c>
      <c r="AF272">
        <v>0</v>
      </c>
      <c r="AG272">
        <v>0</v>
      </c>
      <c r="AH272">
        <v>0</v>
      </c>
      <c r="AI272">
        <v>6.71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6</v>
      </c>
      <c r="AT272">
        <v>1E-3</v>
      </c>
      <c r="AU272" t="s">
        <v>6</v>
      </c>
      <c r="AV272">
        <v>0</v>
      </c>
      <c r="AW272">
        <v>2</v>
      </c>
      <c r="AX272">
        <v>16808952</v>
      </c>
      <c r="AY272">
        <v>1</v>
      </c>
      <c r="AZ272">
        <v>0</v>
      </c>
      <c r="BA272">
        <v>252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Y272*Source!I193</f>
        <v>1.49E-3</v>
      </c>
      <c r="CY272">
        <f>AA272</f>
        <v>83405.3</v>
      </c>
      <c r="CZ272">
        <f>AE272</f>
        <v>12430</v>
      </c>
      <c r="DA272">
        <f>AI272</f>
        <v>6.71</v>
      </c>
      <c r="DB272">
        <f>ROUND(ROUND(AT272*CZ272,2),2)</f>
        <v>12.43</v>
      </c>
      <c r="DC272">
        <f>ROUND(ROUND(AT272*AG272,2),2)</f>
        <v>0</v>
      </c>
    </row>
    <row r="273" spans="1:107" x14ac:dyDescent="0.2">
      <c r="A273">
        <f>ROW(Source!A193)</f>
        <v>193</v>
      </c>
      <c r="B273">
        <v>16808636</v>
      </c>
      <c r="C273">
        <v>16808940</v>
      </c>
      <c r="D273">
        <v>15218443</v>
      </c>
      <c r="E273">
        <v>1</v>
      </c>
      <c r="F273">
        <v>1</v>
      </c>
      <c r="G273">
        <v>1</v>
      </c>
      <c r="H273">
        <v>3</v>
      </c>
      <c r="I273" t="s">
        <v>477</v>
      </c>
      <c r="J273" t="s">
        <v>479</v>
      </c>
      <c r="K273" t="s">
        <v>478</v>
      </c>
      <c r="L273">
        <v>1308</v>
      </c>
      <c r="N273">
        <v>1003</v>
      </c>
      <c r="O273" t="s">
        <v>40</v>
      </c>
      <c r="P273" t="s">
        <v>40</v>
      </c>
      <c r="Q273">
        <v>100</v>
      </c>
      <c r="W273">
        <v>0</v>
      </c>
      <c r="X273">
        <v>1355338960</v>
      </c>
      <c r="Y273">
        <v>1</v>
      </c>
      <c r="AA273">
        <v>4797.6499999999996</v>
      </c>
      <c r="AB273">
        <v>0</v>
      </c>
      <c r="AC273">
        <v>0</v>
      </c>
      <c r="AD273">
        <v>0</v>
      </c>
      <c r="AE273">
        <v>715</v>
      </c>
      <c r="AF273">
        <v>0</v>
      </c>
      <c r="AG273">
        <v>0</v>
      </c>
      <c r="AH273">
        <v>0</v>
      </c>
      <c r="AI273">
        <v>6.71</v>
      </c>
      <c r="AJ273">
        <v>1</v>
      </c>
      <c r="AK273">
        <v>1</v>
      </c>
      <c r="AL273">
        <v>1</v>
      </c>
      <c r="AN273">
        <v>0</v>
      </c>
      <c r="AO273">
        <v>0</v>
      </c>
      <c r="AP273">
        <v>0</v>
      </c>
      <c r="AQ273">
        <v>0</v>
      </c>
      <c r="AR273">
        <v>0</v>
      </c>
      <c r="AS273" t="s">
        <v>6</v>
      </c>
      <c r="AT273">
        <v>1</v>
      </c>
      <c r="AU273" t="s">
        <v>6</v>
      </c>
      <c r="AV273">
        <v>0</v>
      </c>
      <c r="AW273">
        <v>1</v>
      </c>
      <c r="AX273">
        <v>-1</v>
      </c>
      <c r="AY273">
        <v>0</v>
      </c>
      <c r="AZ273">
        <v>0</v>
      </c>
      <c r="BA273" t="s">
        <v>6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Y273*Source!I193</f>
        <v>1.49</v>
      </c>
      <c r="CY273">
        <f>AA273</f>
        <v>4797.6499999999996</v>
      </c>
      <c r="CZ273">
        <f>AE273</f>
        <v>715</v>
      </c>
      <c r="DA273">
        <f>AI273</f>
        <v>6.71</v>
      </c>
      <c r="DB273">
        <f>ROUND(ROUND(AT273*CZ273,2),2)</f>
        <v>715</v>
      </c>
      <c r="DC273">
        <f>ROUND(ROUND(AT273*AG273,2),2)</f>
        <v>0</v>
      </c>
    </row>
    <row r="274" spans="1:107" x14ac:dyDescent="0.2">
      <c r="A274">
        <f>ROW(Source!A193)</f>
        <v>193</v>
      </c>
      <c r="B274">
        <v>16808636</v>
      </c>
      <c r="C274">
        <v>16808940</v>
      </c>
      <c r="D274">
        <v>15164559</v>
      </c>
      <c r="E274">
        <v>17</v>
      </c>
      <c r="F274">
        <v>1</v>
      </c>
      <c r="G274">
        <v>1</v>
      </c>
      <c r="H274">
        <v>3</v>
      </c>
      <c r="I274" t="s">
        <v>736</v>
      </c>
      <c r="J274" t="s">
        <v>6</v>
      </c>
      <c r="K274" t="s">
        <v>737</v>
      </c>
      <c r="L274">
        <v>1374</v>
      </c>
      <c r="N274">
        <v>1013</v>
      </c>
      <c r="O274" t="s">
        <v>738</v>
      </c>
      <c r="P274" t="s">
        <v>738</v>
      </c>
      <c r="Q274">
        <v>1</v>
      </c>
      <c r="W274">
        <v>0</v>
      </c>
      <c r="X274">
        <v>-1731369543</v>
      </c>
      <c r="Y274">
        <v>3.1</v>
      </c>
      <c r="AA274">
        <v>1</v>
      </c>
      <c r="AB274">
        <v>0</v>
      </c>
      <c r="AC274">
        <v>0</v>
      </c>
      <c r="AD274">
        <v>0</v>
      </c>
      <c r="AE274">
        <v>1</v>
      </c>
      <c r="AF274">
        <v>0</v>
      </c>
      <c r="AG274">
        <v>0</v>
      </c>
      <c r="AH274">
        <v>0</v>
      </c>
      <c r="AI274">
        <v>1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6</v>
      </c>
      <c r="AT274">
        <v>3.1</v>
      </c>
      <c r="AU274" t="s">
        <v>6</v>
      </c>
      <c r="AV274">
        <v>0</v>
      </c>
      <c r="AW274">
        <v>2</v>
      </c>
      <c r="AX274">
        <v>16808953</v>
      </c>
      <c r="AY274">
        <v>1</v>
      </c>
      <c r="AZ274">
        <v>0</v>
      </c>
      <c r="BA274">
        <v>253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Y274*Source!I193</f>
        <v>4.6189999999999998</v>
      </c>
      <c r="CY274">
        <f>AA274</f>
        <v>1</v>
      </c>
      <c r="CZ274">
        <f>AE274</f>
        <v>1</v>
      </c>
      <c r="DA274">
        <f>AI274</f>
        <v>1</v>
      </c>
      <c r="DB274">
        <f>ROUND(ROUND(AT274*CZ274,2),2)</f>
        <v>3.1</v>
      </c>
      <c r="DC274">
        <f>ROUND(ROUND(AT274*AG274,2),2)</f>
        <v>0</v>
      </c>
    </row>
    <row r="275" spans="1:107" x14ac:dyDescent="0.2">
      <c r="A275">
        <f>ROW(Source!A195)</f>
        <v>195</v>
      </c>
      <c r="B275">
        <v>16808636</v>
      </c>
      <c r="C275">
        <v>16808955</v>
      </c>
      <c r="D275">
        <v>15430397</v>
      </c>
      <c r="E275">
        <v>1</v>
      </c>
      <c r="F275">
        <v>1</v>
      </c>
      <c r="G275">
        <v>1</v>
      </c>
      <c r="H275">
        <v>1</v>
      </c>
      <c r="I275" t="s">
        <v>927</v>
      </c>
      <c r="J275" t="s">
        <v>6</v>
      </c>
      <c r="K275" t="s">
        <v>928</v>
      </c>
      <c r="L275">
        <v>1191</v>
      </c>
      <c r="N275">
        <v>1013</v>
      </c>
      <c r="O275" t="s">
        <v>708</v>
      </c>
      <c r="P275" t="s">
        <v>708</v>
      </c>
      <c r="Q275">
        <v>1</v>
      </c>
      <c r="W275">
        <v>0</v>
      </c>
      <c r="X275">
        <v>-1081351934</v>
      </c>
      <c r="Y275">
        <v>4.5119999999999996</v>
      </c>
      <c r="AA275">
        <v>0</v>
      </c>
      <c r="AB275">
        <v>0</v>
      </c>
      <c r="AC275">
        <v>0</v>
      </c>
      <c r="AD275">
        <v>63.07</v>
      </c>
      <c r="AE275">
        <v>0</v>
      </c>
      <c r="AF275">
        <v>0</v>
      </c>
      <c r="AG275">
        <v>0</v>
      </c>
      <c r="AH275">
        <v>9.4</v>
      </c>
      <c r="AI275">
        <v>1</v>
      </c>
      <c r="AJ275">
        <v>1</v>
      </c>
      <c r="AK275">
        <v>1</v>
      </c>
      <c r="AL275">
        <v>6.71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6</v>
      </c>
      <c r="AT275">
        <v>3.76</v>
      </c>
      <c r="AU275" t="s">
        <v>443</v>
      </c>
      <c r="AV275">
        <v>1</v>
      </c>
      <c r="AW275">
        <v>2</v>
      </c>
      <c r="AX275">
        <v>16808965</v>
      </c>
      <c r="AY275">
        <v>1</v>
      </c>
      <c r="AZ275">
        <v>0</v>
      </c>
      <c r="BA275">
        <v>254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Y275*Source!I195</f>
        <v>12.543359999999998</v>
      </c>
      <c r="CY275">
        <f>AD275</f>
        <v>63.07</v>
      </c>
      <c r="CZ275">
        <f>AH275</f>
        <v>9.4</v>
      </c>
      <c r="DA275">
        <f>AL275</f>
        <v>6.71</v>
      </c>
      <c r="DB275">
        <f>ROUND((ROUND(AT275*CZ275,2)*1.2),2)</f>
        <v>42.41</v>
      </c>
      <c r="DC275">
        <f>ROUND((ROUND(AT275*AG275,2)*1.2),2)</f>
        <v>0</v>
      </c>
    </row>
    <row r="276" spans="1:107" x14ac:dyDescent="0.2">
      <c r="A276">
        <f>ROW(Source!A195)</f>
        <v>195</v>
      </c>
      <c r="B276">
        <v>16808636</v>
      </c>
      <c r="C276">
        <v>16808955</v>
      </c>
      <c r="D276">
        <v>15430395</v>
      </c>
      <c r="E276">
        <v>1</v>
      </c>
      <c r="F276">
        <v>1</v>
      </c>
      <c r="G276">
        <v>1</v>
      </c>
      <c r="H276">
        <v>1</v>
      </c>
      <c r="I276" t="s">
        <v>709</v>
      </c>
      <c r="J276" t="s">
        <v>6</v>
      </c>
      <c r="K276" t="s">
        <v>710</v>
      </c>
      <c r="L276">
        <v>1191</v>
      </c>
      <c r="N276">
        <v>1013</v>
      </c>
      <c r="O276" t="s">
        <v>708</v>
      </c>
      <c r="P276" t="s">
        <v>708</v>
      </c>
      <c r="Q276">
        <v>1</v>
      </c>
      <c r="W276">
        <v>0</v>
      </c>
      <c r="X276">
        <v>-1417349443</v>
      </c>
      <c r="Y276">
        <v>0.02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1</v>
      </c>
      <c r="AJ276">
        <v>1</v>
      </c>
      <c r="AK276">
        <v>6.71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6</v>
      </c>
      <c r="AT276">
        <v>0.02</v>
      </c>
      <c r="AU276" t="s">
        <v>6</v>
      </c>
      <c r="AV276">
        <v>2</v>
      </c>
      <c r="AW276">
        <v>2</v>
      </c>
      <c r="AX276">
        <v>16808966</v>
      </c>
      <c r="AY276">
        <v>1</v>
      </c>
      <c r="AZ276">
        <v>2048</v>
      </c>
      <c r="BA276">
        <v>255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Y276*Source!I195</f>
        <v>5.5599999999999997E-2</v>
      </c>
      <c r="CY276">
        <f>AD276</f>
        <v>0</v>
      </c>
      <c r="CZ276">
        <f>AH276</f>
        <v>0</v>
      </c>
      <c r="DA276">
        <f>AL276</f>
        <v>1</v>
      </c>
      <c r="DB276">
        <f>ROUND(ROUND(AT276*CZ276,2),2)</f>
        <v>0</v>
      </c>
      <c r="DC276">
        <f>ROUND(ROUND(AT276*AG276,2),2)</f>
        <v>0</v>
      </c>
    </row>
    <row r="277" spans="1:107" x14ac:dyDescent="0.2">
      <c r="A277">
        <f>ROW(Source!A195)</f>
        <v>195</v>
      </c>
      <c r="B277">
        <v>16808636</v>
      </c>
      <c r="C277">
        <v>16808955</v>
      </c>
      <c r="D277">
        <v>15247680</v>
      </c>
      <c r="E277">
        <v>1</v>
      </c>
      <c r="F277">
        <v>1</v>
      </c>
      <c r="G277">
        <v>1</v>
      </c>
      <c r="H277">
        <v>2</v>
      </c>
      <c r="I277" t="s">
        <v>721</v>
      </c>
      <c r="J277" t="s">
        <v>722</v>
      </c>
      <c r="K277" t="s">
        <v>723</v>
      </c>
      <c r="L277">
        <v>1368</v>
      </c>
      <c r="N277">
        <v>1011</v>
      </c>
      <c r="O277" t="s">
        <v>714</v>
      </c>
      <c r="P277" t="s">
        <v>714</v>
      </c>
      <c r="Q277">
        <v>1</v>
      </c>
      <c r="W277">
        <v>0</v>
      </c>
      <c r="X277">
        <v>-1718674368</v>
      </c>
      <c r="Y277">
        <v>1.2E-2</v>
      </c>
      <c r="AA277">
        <v>0</v>
      </c>
      <c r="AB277">
        <v>751.45</v>
      </c>
      <c r="AC277">
        <v>13.5</v>
      </c>
      <c r="AD277">
        <v>0</v>
      </c>
      <c r="AE277">
        <v>0</v>
      </c>
      <c r="AF277">
        <v>111.99</v>
      </c>
      <c r="AG277">
        <v>13.5</v>
      </c>
      <c r="AH277">
        <v>0</v>
      </c>
      <c r="AI277">
        <v>1</v>
      </c>
      <c r="AJ277">
        <v>6.71</v>
      </c>
      <c r="AK277">
        <v>1</v>
      </c>
      <c r="AL277">
        <v>1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6</v>
      </c>
      <c r="AT277">
        <v>0.01</v>
      </c>
      <c r="AU277" t="s">
        <v>443</v>
      </c>
      <c r="AV277">
        <v>0</v>
      </c>
      <c r="AW277">
        <v>2</v>
      </c>
      <c r="AX277">
        <v>16808967</v>
      </c>
      <c r="AY277">
        <v>1</v>
      </c>
      <c r="AZ277">
        <v>0</v>
      </c>
      <c r="BA277">
        <v>256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Y277*Source!I195</f>
        <v>3.3360000000000001E-2</v>
      </c>
      <c r="CY277">
        <f>AB277</f>
        <v>751.45</v>
      </c>
      <c r="CZ277">
        <f>AF277</f>
        <v>111.99</v>
      </c>
      <c r="DA277">
        <f>AJ277</f>
        <v>6.71</v>
      </c>
      <c r="DB277">
        <f>ROUND((ROUND(AT277*CZ277,2)*1.2),2)</f>
        <v>1.34</v>
      </c>
      <c r="DC277">
        <f>ROUND((ROUND(AT277*AG277,2)*1.2),2)</f>
        <v>0.17</v>
      </c>
    </row>
    <row r="278" spans="1:107" x14ac:dyDescent="0.2">
      <c r="A278">
        <f>ROW(Source!A195)</f>
        <v>195</v>
      </c>
      <c r="B278">
        <v>16808636</v>
      </c>
      <c r="C278">
        <v>16808955</v>
      </c>
      <c r="D278">
        <v>15249073</v>
      </c>
      <c r="E278">
        <v>1</v>
      </c>
      <c r="F278">
        <v>1</v>
      </c>
      <c r="G278">
        <v>1</v>
      </c>
      <c r="H278">
        <v>2</v>
      </c>
      <c r="I278" t="s">
        <v>724</v>
      </c>
      <c r="J278" t="s">
        <v>725</v>
      </c>
      <c r="K278" t="s">
        <v>726</v>
      </c>
      <c r="L278">
        <v>1368</v>
      </c>
      <c r="N278">
        <v>1011</v>
      </c>
      <c r="O278" t="s">
        <v>714</v>
      </c>
      <c r="P278" t="s">
        <v>714</v>
      </c>
      <c r="Q278">
        <v>1</v>
      </c>
      <c r="W278">
        <v>0</v>
      </c>
      <c r="X278">
        <v>1372534845</v>
      </c>
      <c r="Y278">
        <v>1.2E-2</v>
      </c>
      <c r="AA278">
        <v>0</v>
      </c>
      <c r="AB278">
        <v>440.91</v>
      </c>
      <c r="AC278">
        <v>11.6</v>
      </c>
      <c r="AD278">
        <v>0</v>
      </c>
      <c r="AE278">
        <v>0</v>
      </c>
      <c r="AF278">
        <v>65.709999999999994</v>
      </c>
      <c r="AG278">
        <v>11.6</v>
      </c>
      <c r="AH278">
        <v>0</v>
      </c>
      <c r="AI278">
        <v>1</v>
      </c>
      <c r="AJ278">
        <v>6.71</v>
      </c>
      <c r="AK278">
        <v>1</v>
      </c>
      <c r="AL278">
        <v>1</v>
      </c>
      <c r="AN278">
        <v>0</v>
      </c>
      <c r="AO278">
        <v>1</v>
      </c>
      <c r="AP278">
        <v>1</v>
      </c>
      <c r="AQ278">
        <v>0</v>
      </c>
      <c r="AR278">
        <v>0</v>
      </c>
      <c r="AS278" t="s">
        <v>6</v>
      </c>
      <c r="AT278">
        <v>0.01</v>
      </c>
      <c r="AU278" t="s">
        <v>443</v>
      </c>
      <c r="AV278">
        <v>0</v>
      </c>
      <c r="AW278">
        <v>2</v>
      </c>
      <c r="AX278">
        <v>16808968</v>
      </c>
      <c r="AY278">
        <v>1</v>
      </c>
      <c r="AZ278">
        <v>0</v>
      </c>
      <c r="BA278">
        <v>257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Y278*Source!I195</f>
        <v>3.3360000000000001E-2</v>
      </c>
      <c r="CY278">
        <f>AB278</f>
        <v>440.91</v>
      </c>
      <c r="CZ278">
        <f>AF278</f>
        <v>65.709999999999994</v>
      </c>
      <c r="DA278">
        <f>AJ278</f>
        <v>6.71</v>
      </c>
      <c r="DB278">
        <f>ROUND((ROUND(AT278*CZ278,2)*1.2),2)</f>
        <v>0.79</v>
      </c>
      <c r="DC278">
        <f>ROUND((ROUND(AT278*AG278,2)*1.2),2)</f>
        <v>0.14000000000000001</v>
      </c>
    </row>
    <row r="279" spans="1:107" x14ac:dyDescent="0.2">
      <c r="A279">
        <f>ROW(Source!A195)</f>
        <v>195</v>
      </c>
      <c r="B279">
        <v>16808636</v>
      </c>
      <c r="C279">
        <v>16808955</v>
      </c>
      <c r="D279">
        <v>15167588</v>
      </c>
      <c r="E279">
        <v>1</v>
      </c>
      <c r="F279">
        <v>1</v>
      </c>
      <c r="G279">
        <v>1</v>
      </c>
      <c r="H279">
        <v>3</v>
      </c>
      <c r="I279" t="s">
        <v>727</v>
      </c>
      <c r="J279" t="s">
        <v>728</v>
      </c>
      <c r="K279" t="s">
        <v>729</v>
      </c>
      <c r="L279">
        <v>1346</v>
      </c>
      <c r="N279">
        <v>1009</v>
      </c>
      <c r="O279" t="s">
        <v>300</v>
      </c>
      <c r="P279" t="s">
        <v>300</v>
      </c>
      <c r="Q279">
        <v>1</v>
      </c>
      <c r="W279">
        <v>0</v>
      </c>
      <c r="X279">
        <v>-1088866022</v>
      </c>
      <c r="Y279">
        <v>0.16</v>
      </c>
      <c r="AA279">
        <v>203.98</v>
      </c>
      <c r="AB279">
        <v>0</v>
      </c>
      <c r="AC279">
        <v>0</v>
      </c>
      <c r="AD279">
        <v>0</v>
      </c>
      <c r="AE279">
        <v>30.4</v>
      </c>
      <c r="AF279">
        <v>0</v>
      </c>
      <c r="AG279">
        <v>0</v>
      </c>
      <c r="AH279">
        <v>0</v>
      </c>
      <c r="AI279">
        <v>6.71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6</v>
      </c>
      <c r="AT279">
        <v>0.16</v>
      </c>
      <c r="AU279" t="s">
        <v>6</v>
      </c>
      <c r="AV279">
        <v>0</v>
      </c>
      <c r="AW279">
        <v>2</v>
      </c>
      <c r="AX279">
        <v>16808969</v>
      </c>
      <c r="AY279">
        <v>1</v>
      </c>
      <c r="AZ279">
        <v>0</v>
      </c>
      <c r="BA279">
        <v>258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Y279*Source!I195</f>
        <v>0.44479999999999997</v>
      </c>
      <c r="CY279">
        <f>AA279</f>
        <v>203.98</v>
      </c>
      <c r="CZ279">
        <f>AE279</f>
        <v>30.4</v>
      </c>
      <c r="DA279">
        <f>AI279</f>
        <v>6.71</v>
      </c>
      <c r="DB279">
        <f>ROUND(ROUND(AT279*CZ279,2),2)</f>
        <v>4.8600000000000003</v>
      </c>
      <c r="DC279">
        <f>ROUND(ROUND(AT279*AG279,2),2)</f>
        <v>0</v>
      </c>
    </row>
    <row r="280" spans="1:107" x14ac:dyDescent="0.2">
      <c r="A280">
        <f>ROW(Source!A195)</f>
        <v>195</v>
      </c>
      <c r="B280">
        <v>16808636</v>
      </c>
      <c r="C280">
        <v>16808955</v>
      </c>
      <c r="D280">
        <v>15167600</v>
      </c>
      <c r="E280">
        <v>1</v>
      </c>
      <c r="F280">
        <v>1</v>
      </c>
      <c r="G280">
        <v>1</v>
      </c>
      <c r="H280">
        <v>3</v>
      </c>
      <c r="I280" t="s">
        <v>941</v>
      </c>
      <c r="J280" t="s">
        <v>942</v>
      </c>
      <c r="K280" t="s">
        <v>943</v>
      </c>
      <c r="L280">
        <v>1308</v>
      </c>
      <c r="N280">
        <v>1003</v>
      </c>
      <c r="O280" t="s">
        <v>40</v>
      </c>
      <c r="P280" t="s">
        <v>40</v>
      </c>
      <c r="Q280">
        <v>100</v>
      </c>
      <c r="W280">
        <v>0</v>
      </c>
      <c r="X280">
        <v>568244124</v>
      </c>
      <c r="Y280">
        <v>5.5E-2</v>
      </c>
      <c r="AA280">
        <v>805.2</v>
      </c>
      <c r="AB280">
        <v>0</v>
      </c>
      <c r="AC280">
        <v>0</v>
      </c>
      <c r="AD280">
        <v>0</v>
      </c>
      <c r="AE280">
        <v>120</v>
      </c>
      <c r="AF280">
        <v>0</v>
      </c>
      <c r="AG280">
        <v>0</v>
      </c>
      <c r="AH280">
        <v>0</v>
      </c>
      <c r="AI280">
        <v>6.71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6</v>
      </c>
      <c r="AT280">
        <v>5.5E-2</v>
      </c>
      <c r="AU280" t="s">
        <v>6</v>
      </c>
      <c r="AV280">
        <v>0</v>
      </c>
      <c r="AW280">
        <v>2</v>
      </c>
      <c r="AX280">
        <v>16808970</v>
      </c>
      <c r="AY280">
        <v>1</v>
      </c>
      <c r="AZ280">
        <v>0</v>
      </c>
      <c r="BA280">
        <v>259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Y280*Source!I195</f>
        <v>0.15289999999999998</v>
      </c>
      <c r="CY280">
        <f>AA280</f>
        <v>805.2</v>
      </c>
      <c r="CZ280">
        <f>AE280</f>
        <v>120</v>
      </c>
      <c r="DA280">
        <f>AI280</f>
        <v>6.71</v>
      </c>
      <c r="DB280">
        <f>ROUND(ROUND(AT280*CZ280,2),2)</f>
        <v>6.6</v>
      </c>
      <c r="DC280">
        <f>ROUND(ROUND(AT280*AG280,2),2)</f>
        <v>0</v>
      </c>
    </row>
    <row r="281" spans="1:107" x14ac:dyDescent="0.2">
      <c r="A281">
        <f>ROW(Source!A195)</f>
        <v>195</v>
      </c>
      <c r="B281">
        <v>16808636</v>
      </c>
      <c r="C281">
        <v>16808955</v>
      </c>
      <c r="D281">
        <v>15203834</v>
      </c>
      <c r="E281">
        <v>1</v>
      </c>
      <c r="F281">
        <v>1</v>
      </c>
      <c r="G281">
        <v>1</v>
      </c>
      <c r="H281">
        <v>3</v>
      </c>
      <c r="I281" t="s">
        <v>932</v>
      </c>
      <c r="J281" t="s">
        <v>933</v>
      </c>
      <c r="K281" t="s">
        <v>934</v>
      </c>
      <c r="L281">
        <v>1346</v>
      </c>
      <c r="N281">
        <v>1009</v>
      </c>
      <c r="O281" t="s">
        <v>300</v>
      </c>
      <c r="P281" t="s">
        <v>300</v>
      </c>
      <c r="Q281">
        <v>1</v>
      </c>
      <c r="W281">
        <v>0</v>
      </c>
      <c r="X281">
        <v>210558753</v>
      </c>
      <c r="Y281">
        <v>0.05</v>
      </c>
      <c r="AA281">
        <v>191.91</v>
      </c>
      <c r="AB281">
        <v>0</v>
      </c>
      <c r="AC281">
        <v>0</v>
      </c>
      <c r="AD281">
        <v>0</v>
      </c>
      <c r="AE281">
        <v>28.6</v>
      </c>
      <c r="AF281">
        <v>0</v>
      </c>
      <c r="AG281">
        <v>0</v>
      </c>
      <c r="AH281">
        <v>0</v>
      </c>
      <c r="AI281">
        <v>6.71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6</v>
      </c>
      <c r="AT281">
        <v>0.05</v>
      </c>
      <c r="AU281" t="s">
        <v>6</v>
      </c>
      <c r="AV281">
        <v>0</v>
      </c>
      <c r="AW281">
        <v>2</v>
      </c>
      <c r="AX281">
        <v>16808971</v>
      </c>
      <c r="AY281">
        <v>1</v>
      </c>
      <c r="AZ281">
        <v>0</v>
      </c>
      <c r="BA281">
        <v>260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Y281*Source!I195</f>
        <v>0.13899999999999998</v>
      </c>
      <c r="CY281">
        <f>AA281</f>
        <v>191.91</v>
      </c>
      <c r="CZ281">
        <f>AE281</f>
        <v>28.6</v>
      </c>
      <c r="DA281">
        <f>AI281</f>
        <v>6.71</v>
      </c>
      <c r="DB281">
        <f>ROUND(ROUND(AT281*CZ281,2),2)</f>
        <v>1.43</v>
      </c>
      <c r="DC281">
        <f>ROUND(ROUND(AT281*AG281,2),2)</f>
        <v>0</v>
      </c>
    </row>
    <row r="282" spans="1:107" x14ac:dyDescent="0.2">
      <c r="A282">
        <f>ROW(Source!A195)</f>
        <v>195</v>
      </c>
      <c r="B282">
        <v>16808636</v>
      </c>
      <c r="C282">
        <v>16808955</v>
      </c>
      <c r="D282">
        <v>15223029</v>
      </c>
      <c r="E282">
        <v>1</v>
      </c>
      <c r="F282">
        <v>1</v>
      </c>
      <c r="G282">
        <v>1</v>
      </c>
      <c r="H282">
        <v>3</v>
      </c>
      <c r="I282" t="s">
        <v>461</v>
      </c>
      <c r="J282" t="s">
        <v>464</v>
      </c>
      <c r="K282" t="s">
        <v>462</v>
      </c>
      <c r="L282">
        <v>1477</v>
      </c>
      <c r="N282">
        <v>1013</v>
      </c>
      <c r="O282" t="s">
        <v>463</v>
      </c>
      <c r="P282" t="s">
        <v>465</v>
      </c>
      <c r="Q282">
        <v>1</v>
      </c>
      <c r="W282">
        <v>0</v>
      </c>
      <c r="X282">
        <v>559331636</v>
      </c>
      <c r="Y282">
        <v>0.1</v>
      </c>
      <c r="AA282">
        <v>46435.95</v>
      </c>
      <c r="AB282">
        <v>0</v>
      </c>
      <c r="AC282">
        <v>0</v>
      </c>
      <c r="AD282">
        <v>0</v>
      </c>
      <c r="AE282">
        <v>6920.41</v>
      </c>
      <c r="AF282">
        <v>0</v>
      </c>
      <c r="AG282">
        <v>0</v>
      </c>
      <c r="AH282">
        <v>0</v>
      </c>
      <c r="AI282">
        <v>6.71</v>
      </c>
      <c r="AJ282">
        <v>1</v>
      </c>
      <c r="AK282">
        <v>1</v>
      </c>
      <c r="AL282">
        <v>1</v>
      </c>
      <c r="AN282">
        <v>0</v>
      </c>
      <c r="AO282">
        <v>0</v>
      </c>
      <c r="AP282">
        <v>0</v>
      </c>
      <c r="AQ282">
        <v>0</v>
      </c>
      <c r="AR282">
        <v>0</v>
      </c>
      <c r="AS282" t="s">
        <v>6</v>
      </c>
      <c r="AT282">
        <v>0.1</v>
      </c>
      <c r="AU282" t="s">
        <v>6</v>
      </c>
      <c r="AV282">
        <v>0</v>
      </c>
      <c r="AW282">
        <v>1</v>
      </c>
      <c r="AX282">
        <v>-1</v>
      </c>
      <c r="AY282">
        <v>0</v>
      </c>
      <c r="AZ282">
        <v>0</v>
      </c>
      <c r="BA282" t="s">
        <v>6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Y282*Source!I195</f>
        <v>0.27799999999999997</v>
      </c>
      <c r="CY282">
        <f>AA282</f>
        <v>46435.95</v>
      </c>
      <c r="CZ282">
        <f>AE282</f>
        <v>6920.41</v>
      </c>
      <c r="DA282">
        <f>AI282</f>
        <v>6.71</v>
      </c>
      <c r="DB282">
        <f>ROUND(ROUND(AT282*CZ282,2),2)</f>
        <v>692.04</v>
      </c>
      <c r="DC282">
        <f>ROUND(ROUND(AT282*AG282,2),2)</f>
        <v>0</v>
      </c>
    </row>
    <row r="283" spans="1:107" x14ac:dyDescent="0.2">
      <c r="A283">
        <f>ROW(Source!A195)</f>
        <v>195</v>
      </c>
      <c r="B283">
        <v>16808636</v>
      </c>
      <c r="C283">
        <v>16808955</v>
      </c>
      <c r="D283">
        <v>15164559</v>
      </c>
      <c r="E283">
        <v>17</v>
      </c>
      <c r="F283">
        <v>1</v>
      </c>
      <c r="G283">
        <v>1</v>
      </c>
      <c r="H283">
        <v>3</v>
      </c>
      <c r="I283" t="s">
        <v>736</v>
      </c>
      <c r="J283" t="s">
        <v>6</v>
      </c>
      <c r="K283" t="s">
        <v>737</v>
      </c>
      <c r="L283">
        <v>1374</v>
      </c>
      <c r="N283">
        <v>1013</v>
      </c>
      <c r="O283" t="s">
        <v>738</v>
      </c>
      <c r="P283" t="s">
        <v>738</v>
      </c>
      <c r="Q283">
        <v>1</v>
      </c>
      <c r="W283">
        <v>0</v>
      </c>
      <c r="X283">
        <v>-1731369543</v>
      </c>
      <c r="Y283">
        <v>0.71</v>
      </c>
      <c r="AA283">
        <v>1</v>
      </c>
      <c r="AB283">
        <v>0</v>
      </c>
      <c r="AC283">
        <v>0</v>
      </c>
      <c r="AD283">
        <v>0</v>
      </c>
      <c r="AE283">
        <v>1</v>
      </c>
      <c r="AF283">
        <v>0</v>
      </c>
      <c r="AG283">
        <v>0</v>
      </c>
      <c r="AH283">
        <v>0</v>
      </c>
      <c r="AI283">
        <v>1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6</v>
      </c>
      <c r="AT283">
        <v>0.71</v>
      </c>
      <c r="AU283" t="s">
        <v>6</v>
      </c>
      <c r="AV283">
        <v>0</v>
      </c>
      <c r="AW283">
        <v>2</v>
      </c>
      <c r="AX283">
        <v>16808972</v>
      </c>
      <c r="AY283">
        <v>1</v>
      </c>
      <c r="AZ283">
        <v>0</v>
      </c>
      <c r="BA283">
        <v>261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Y283*Source!I195</f>
        <v>1.9737999999999998</v>
      </c>
      <c r="CY283">
        <f>AA283</f>
        <v>1</v>
      </c>
      <c r="CZ283">
        <f>AE283</f>
        <v>1</v>
      </c>
      <c r="DA283">
        <f>AI283</f>
        <v>1</v>
      </c>
      <c r="DB283">
        <f>ROUND(ROUND(AT283*CZ283,2),2)</f>
        <v>0.71</v>
      </c>
      <c r="DC283">
        <f>ROUND(ROUND(AT283*AG283,2),2)</f>
        <v>0</v>
      </c>
    </row>
    <row r="284" spans="1:107" x14ac:dyDescent="0.2">
      <c r="A284">
        <f>ROW(Source!A197)</f>
        <v>197</v>
      </c>
      <c r="B284">
        <v>16808636</v>
      </c>
      <c r="C284">
        <v>16808974</v>
      </c>
      <c r="D284">
        <v>15430397</v>
      </c>
      <c r="E284">
        <v>1</v>
      </c>
      <c r="F284">
        <v>1</v>
      </c>
      <c r="G284">
        <v>1</v>
      </c>
      <c r="H284">
        <v>1</v>
      </c>
      <c r="I284" t="s">
        <v>927</v>
      </c>
      <c r="J284" t="s">
        <v>6</v>
      </c>
      <c r="K284" t="s">
        <v>928</v>
      </c>
      <c r="L284">
        <v>1191</v>
      </c>
      <c r="N284">
        <v>1013</v>
      </c>
      <c r="O284" t="s">
        <v>708</v>
      </c>
      <c r="P284" t="s">
        <v>708</v>
      </c>
      <c r="Q284">
        <v>1</v>
      </c>
      <c r="W284">
        <v>0</v>
      </c>
      <c r="X284">
        <v>-1081351934</v>
      </c>
      <c r="Y284">
        <v>3.3839999999999999</v>
      </c>
      <c r="AA284">
        <v>0</v>
      </c>
      <c r="AB284">
        <v>0</v>
      </c>
      <c r="AC284">
        <v>0</v>
      </c>
      <c r="AD284">
        <v>63.07</v>
      </c>
      <c r="AE284">
        <v>0</v>
      </c>
      <c r="AF284">
        <v>0</v>
      </c>
      <c r="AG284">
        <v>0</v>
      </c>
      <c r="AH284">
        <v>9.4</v>
      </c>
      <c r="AI284">
        <v>1</v>
      </c>
      <c r="AJ284">
        <v>1</v>
      </c>
      <c r="AK284">
        <v>1</v>
      </c>
      <c r="AL284">
        <v>6.71</v>
      </c>
      <c r="AN284">
        <v>0</v>
      </c>
      <c r="AO284">
        <v>1</v>
      </c>
      <c r="AP284">
        <v>1</v>
      </c>
      <c r="AQ284">
        <v>0</v>
      </c>
      <c r="AR284">
        <v>0</v>
      </c>
      <c r="AS284" t="s">
        <v>6</v>
      </c>
      <c r="AT284">
        <v>2.82</v>
      </c>
      <c r="AU284" t="s">
        <v>443</v>
      </c>
      <c r="AV284">
        <v>1</v>
      </c>
      <c r="AW284">
        <v>2</v>
      </c>
      <c r="AX284">
        <v>16808984</v>
      </c>
      <c r="AY284">
        <v>1</v>
      </c>
      <c r="AZ284">
        <v>0</v>
      </c>
      <c r="BA284">
        <v>262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Y284*Source!I197</f>
        <v>5.04216</v>
      </c>
      <c r="CY284">
        <f>AD284</f>
        <v>63.07</v>
      </c>
      <c r="CZ284">
        <f>AH284</f>
        <v>9.4</v>
      </c>
      <c r="DA284">
        <f>AL284</f>
        <v>6.71</v>
      </c>
      <c r="DB284">
        <f>ROUND((ROUND(AT284*CZ284,2)*1.2),2)</f>
        <v>31.81</v>
      </c>
      <c r="DC284">
        <f>ROUND((ROUND(AT284*AG284,2)*1.2),2)</f>
        <v>0</v>
      </c>
    </row>
    <row r="285" spans="1:107" x14ac:dyDescent="0.2">
      <c r="A285">
        <f>ROW(Source!A197)</f>
        <v>197</v>
      </c>
      <c r="B285">
        <v>16808636</v>
      </c>
      <c r="C285">
        <v>16808974</v>
      </c>
      <c r="D285">
        <v>15430395</v>
      </c>
      <c r="E285">
        <v>1</v>
      </c>
      <c r="F285">
        <v>1</v>
      </c>
      <c r="G285">
        <v>1</v>
      </c>
      <c r="H285">
        <v>1</v>
      </c>
      <c r="I285" t="s">
        <v>709</v>
      </c>
      <c r="J285" t="s">
        <v>6</v>
      </c>
      <c r="K285" t="s">
        <v>710</v>
      </c>
      <c r="L285">
        <v>1191</v>
      </c>
      <c r="N285">
        <v>1013</v>
      </c>
      <c r="O285" t="s">
        <v>708</v>
      </c>
      <c r="P285" t="s">
        <v>708</v>
      </c>
      <c r="Q285">
        <v>1</v>
      </c>
      <c r="W285">
        <v>0</v>
      </c>
      <c r="X285">
        <v>-1417349443</v>
      </c>
      <c r="Y285">
        <v>0.02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1</v>
      </c>
      <c r="AJ285">
        <v>1</v>
      </c>
      <c r="AK285">
        <v>6.71</v>
      </c>
      <c r="AL285">
        <v>1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6</v>
      </c>
      <c r="AT285">
        <v>0.02</v>
      </c>
      <c r="AU285" t="s">
        <v>6</v>
      </c>
      <c r="AV285">
        <v>2</v>
      </c>
      <c r="AW285">
        <v>2</v>
      </c>
      <c r="AX285">
        <v>16808985</v>
      </c>
      <c r="AY285">
        <v>1</v>
      </c>
      <c r="AZ285">
        <v>2048</v>
      </c>
      <c r="BA285">
        <v>263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Y285*Source!I197</f>
        <v>2.98E-2</v>
      </c>
      <c r="CY285">
        <f>AD285</f>
        <v>0</v>
      </c>
      <c r="CZ285">
        <f>AH285</f>
        <v>0</v>
      </c>
      <c r="DA285">
        <f>AL285</f>
        <v>1</v>
      </c>
      <c r="DB285">
        <f>ROUND(ROUND(AT285*CZ285,2),2)</f>
        <v>0</v>
      </c>
      <c r="DC285">
        <f>ROUND(ROUND(AT285*AG285,2),2)</f>
        <v>0</v>
      </c>
    </row>
    <row r="286" spans="1:107" x14ac:dyDescent="0.2">
      <c r="A286">
        <f>ROW(Source!A197)</f>
        <v>197</v>
      </c>
      <c r="B286">
        <v>16808636</v>
      </c>
      <c r="C286">
        <v>16808974</v>
      </c>
      <c r="D286">
        <v>15247680</v>
      </c>
      <c r="E286">
        <v>1</v>
      </c>
      <c r="F286">
        <v>1</v>
      </c>
      <c r="G286">
        <v>1</v>
      </c>
      <c r="H286">
        <v>2</v>
      </c>
      <c r="I286" t="s">
        <v>721</v>
      </c>
      <c r="J286" t="s">
        <v>722</v>
      </c>
      <c r="K286" t="s">
        <v>723</v>
      </c>
      <c r="L286">
        <v>1368</v>
      </c>
      <c r="N286">
        <v>1011</v>
      </c>
      <c r="O286" t="s">
        <v>714</v>
      </c>
      <c r="P286" t="s">
        <v>714</v>
      </c>
      <c r="Q286">
        <v>1</v>
      </c>
      <c r="W286">
        <v>0</v>
      </c>
      <c r="X286">
        <v>-1718674368</v>
      </c>
      <c r="Y286">
        <v>1.2E-2</v>
      </c>
      <c r="AA286">
        <v>0</v>
      </c>
      <c r="AB286">
        <v>751.45</v>
      </c>
      <c r="AC286">
        <v>13.5</v>
      </c>
      <c r="AD286">
        <v>0</v>
      </c>
      <c r="AE286">
        <v>0</v>
      </c>
      <c r="AF286">
        <v>111.99</v>
      </c>
      <c r="AG286">
        <v>13.5</v>
      </c>
      <c r="AH286">
        <v>0</v>
      </c>
      <c r="AI286">
        <v>1</v>
      </c>
      <c r="AJ286">
        <v>6.71</v>
      </c>
      <c r="AK286">
        <v>1</v>
      </c>
      <c r="AL286">
        <v>1</v>
      </c>
      <c r="AN286">
        <v>0</v>
      </c>
      <c r="AO286">
        <v>1</v>
      </c>
      <c r="AP286">
        <v>1</v>
      </c>
      <c r="AQ286">
        <v>0</v>
      </c>
      <c r="AR286">
        <v>0</v>
      </c>
      <c r="AS286" t="s">
        <v>6</v>
      </c>
      <c r="AT286">
        <v>0.01</v>
      </c>
      <c r="AU286" t="s">
        <v>443</v>
      </c>
      <c r="AV286">
        <v>0</v>
      </c>
      <c r="AW286">
        <v>2</v>
      </c>
      <c r="AX286">
        <v>16808986</v>
      </c>
      <c r="AY286">
        <v>1</v>
      </c>
      <c r="AZ286">
        <v>0</v>
      </c>
      <c r="BA286">
        <v>264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Y286*Source!I197</f>
        <v>1.788E-2</v>
      </c>
      <c r="CY286">
        <f>AB286</f>
        <v>751.45</v>
      </c>
      <c r="CZ286">
        <f>AF286</f>
        <v>111.99</v>
      </c>
      <c r="DA286">
        <f>AJ286</f>
        <v>6.71</v>
      </c>
      <c r="DB286">
        <f>ROUND((ROUND(AT286*CZ286,2)*1.2),2)</f>
        <v>1.34</v>
      </c>
      <c r="DC286">
        <f>ROUND((ROUND(AT286*AG286,2)*1.2),2)</f>
        <v>0.17</v>
      </c>
    </row>
    <row r="287" spans="1:107" x14ac:dyDescent="0.2">
      <c r="A287">
        <f>ROW(Source!A197)</f>
        <v>197</v>
      </c>
      <c r="B287">
        <v>16808636</v>
      </c>
      <c r="C287">
        <v>16808974</v>
      </c>
      <c r="D287">
        <v>15249073</v>
      </c>
      <c r="E287">
        <v>1</v>
      </c>
      <c r="F287">
        <v>1</v>
      </c>
      <c r="G287">
        <v>1</v>
      </c>
      <c r="H287">
        <v>2</v>
      </c>
      <c r="I287" t="s">
        <v>724</v>
      </c>
      <c r="J287" t="s">
        <v>725</v>
      </c>
      <c r="K287" t="s">
        <v>726</v>
      </c>
      <c r="L287">
        <v>1368</v>
      </c>
      <c r="N287">
        <v>1011</v>
      </c>
      <c r="O287" t="s">
        <v>714</v>
      </c>
      <c r="P287" t="s">
        <v>714</v>
      </c>
      <c r="Q287">
        <v>1</v>
      </c>
      <c r="W287">
        <v>0</v>
      </c>
      <c r="X287">
        <v>1372534845</v>
      </c>
      <c r="Y287">
        <v>1.2E-2</v>
      </c>
      <c r="AA287">
        <v>0</v>
      </c>
      <c r="AB287">
        <v>440.91</v>
      </c>
      <c r="AC287">
        <v>11.6</v>
      </c>
      <c r="AD287">
        <v>0</v>
      </c>
      <c r="AE287">
        <v>0</v>
      </c>
      <c r="AF287">
        <v>65.709999999999994</v>
      </c>
      <c r="AG287">
        <v>11.6</v>
      </c>
      <c r="AH287">
        <v>0</v>
      </c>
      <c r="AI287">
        <v>1</v>
      </c>
      <c r="AJ287">
        <v>6.71</v>
      </c>
      <c r="AK287">
        <v>1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6</v>
      </c>
      <c r="AT287">
        <v>0.01</v>
      </c>
      <c r="AU287" t="s">
        <v>443</v>
      </c>
      <c r="AV287">
        <v>0</v>
      </c>
      <c r="AW287">
        <v>2</v>
      </c>
      <c r="AX287">
        <v>16808987</v>
      </c>
      <c r="AY287">
        <v>1</v>
      </c>
      <c r="AZ287">
        <v>0</v>
      </c>
      <c r="BA287">
        <v>265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Y287*Source!I197</f>
        <v>1.788E-2</v>
      </c>
      <c r="CY287">
        <f>AB287</f>
        <v>440.91</v>
      </c>
      <c r="CZ287">
        <f>AF287</f>
        <v>65.709999999999994</v>
      </c>
      <c r="DA287">
        <f>AJ287</f>
        <v>6.71</v>
      </c>
      <c r="DB287">
        <f>ROUND((ROUND(AT287*CZ287,2)*1.2),2)</f>
        <v>0.79</v>
      </c>
      <c r="DC287">
        <f>ROUND((ROUND(AT287*AG287,2)*1.2),2)</f>
        <v>0.14000000000000001</v>
      </c>
    </row>
    <row r="288" spans="1:107" x14ac:dyDescent="0.2">
      <c r="A288">
        <f>ROW(Source!A197)</f>
        <v>197</v>
      </c>
      <c r="B288">
        <v>16808636</v>
      </c>
      <c r="C288">
        <v>16808974</v>
      </c>
      <c r="D288">
        <v>15167588</v>
      </c>
      <c r="E288">
        <v>1</v>
      </c>
      <c r="F288">
        <v>1</v>
      </c>
      <c r="G288">
        <v>1</v>
      </c>
      <c r="H288">
        <v>3</v>
      </c>
      <c r="I288" t="s">
        <v>727</v>
      </c>
      <c r="J288" t="s">
        <v>728</v>
      </c>
      <c r="K288" t="s">
        <v>729</v>
      </c>
      <c r="L288">
        <v>1346</v>
      </c>
      <c r="N288">
        <v>1009</v>
      </c>
      <c r="O288" t="s">
        <v>300</v>
      </c>
      <c r="P288" t="s">
        <v>300</v>
      </c>
      <c r="Q288">
        <v>1</v>
      </c>
      <c r="W288">
        <v>0</v>
      </c>
      <c r="X288">
        <v>-1088866022</v>
      </c>
      <c r="Y288">
        <v>0.16</v>
      </c>
      <c r="AA288">
        <v>203.98</v>
      </c>
      <c r="AB288">
        <v>0</v>
      </c>
      <c r="AC288">
        <v>0</v>
      </c>
      <c r="AD288">
        <v>0</v>
      </c>
      <c r="AE288">
        <v>30.4</v>
      </c>
      <c r="AF288">
        <v>0</v>
      </c>
      <c r="AG288">
        <v>0</v>
      </c>
      <c r="AH288">
        <v>0</v>
      </c>
      <c r="AI288">
        <v>6.71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6</v>
      </c>
      <c r="AT288">
        <v>0.16</v>
      </c>
      <c r="AU288" t="s">
        <v>6</v>
      </c>
      <c r="AV288">
        <v>0</v>
      </c>
      <c r="AW288">
        <v>2</v>
      </c>
      <c r="AX288">
        <v>16808988</v>
      </c>
      <c r="AY288">
        <v>1</v>
      </c>
      <c r="AZ288">
        <v>0</v>
      </c>
      <c r="BA288">
        <v>266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Y288*Source!I197</f>
        <v>0.2384</v>
      </c>
      <c r="CY288">
        <f>AA288</f>
        <v>203.98</v>
      </c>
      <c r="CZ288">
        <f>AE288</f>
        <v>30.4</v>
      </c>
      <c r="DA288">
        <f>AI288</f>
        <v>6.71</v>
      </c>
      <c r="DB288">
        <f>ROUND(ROUND(AT288*CZ288,2),2)</f>
        <v>4.8600000000000003</v>
      </c>
      <c r="DC288">
        <f>ROUND(ROUND(AT288*AG288,2),2)</f>
        <v>0</v>
      </c>
    </row>
    <row r="289" spans="1:107" x14ac:dyDescent="0.2">
      <c r="A289">
        <f>ROW(Source!A197)</f>
        <v>197</v>
      </c>
      <c r="B289">
        <v>16808636</v>
      </c>
      <c r="C289">
        <v>16808974</v>
      </c>
      <c r="D289">
        <v>15167600</v>
      </c>
      <c r="E289">
        <v>1</v>
      </c>
      <c r="F289">
        <v>1</v>
      </c>
      <c r="G289">
        <v>1</v>
      </c>
      <c r="H289">
        <v>3</v>
      </c>
      <c r="I289" t="s">
        <v>941</v>
      </c>
      <c r="J289" t="s">
        <v>942</v>
      </c>
      <c r="K289" t="s">
        <v>943</v>
      </c>
      <c r="L289">
        <v>1308</v>
      </c>
      <c r="N289">
        <v>1003</v>
      </c>
      <c r="O289" t="s">
        <v>40</v>
      </c>
      <c r="P289" t="s">
        <v>40</v>
      </c>
      <c r="Q289">
        <v>100</v>
      </c>
      <c r="W289">
        <v>0</v>
      </c>
      <c r="X289">
        <v>568244124</v>
      </c>
      <c r="Y289">
        <v>0.05</v>
      </c>
      <c r="AA289">
        <v>805.2</v>
      </c>
      <c r="AB289">
        <v>0</v>
      </c>
      <c r="AC289">
        <v>0</v>
      </c>
      <c r="AD289">
        <v>0</v>
      </c>
      <c r="AE289">
        <v>120</v>
      </c>
      <c r="AF289">
        <v>0</v>
      </c>
      <c r="AG289">
        <v>0</v>
      </c>
      <c r="AH289">
        <v>0</v>
      </c>
      <c r="AI289">
        <v>6.71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6</v>
      </c>
      <c r="AT289">
        <v>0.05</v>
      </c>
      <c r="AU289" t="s">
        <v>6</v>
      </c>
      <c r="AV289">
        <v>0</v>
      </c>
      <c r="AW289">
        <v>2</v>
      </c>
      <c r="AX289">
        <v>16808989</v>
      </c>
      <c r="AY289">
        <v>1</v>
      </c>
      <c r="AZ289">
        <v>0</v>
      </c>
      <c r="BA289">
        <v>267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Y289*Source!I197</f>
        <v>7.4499999999999997E-2</v>
      </c>
      <c r="CY289">
        <f>AA289</f>
        <v>805.2</v>
      </c>
      <c r="CZ289">
        <f>AE289</f>
        <v>120</v>
      </c>
      <c r="DA289">
        <f>AI289</f>
        <v>6.71</v>
      </c>
      <c r="DB289">
        <f>ROUND(ROUND(AT289*CZ289,2),2)</f>
        <v>6</v>
      </c>
      <c r="DC289">
        <f>ROUND(ROUND(AT289*AG289,2),2)</f>
        <v>0</v>
      </c>
    </row>
    <row r="290" spans="1:107" x14ac:dyDescent="0.2">
      <c r="A290">
        <f>ROW(Source!A197)</f>
        <v>197</v>
      </c>
      <c r="B290">
        <v>16808636</v>
      </c>
      <c r="C290">
        <v>16808974</v>
      </c>
      <c r="D290">
        <v>15203834</v>
      </c>
      <c r="E290">
        <v>1</v>
      </c>
      <c r="F290">
        <v>1</v>
      </c>
      <c r="G290">
        <v>1</v>
      </c>
      <c r="H290">
        <v>3</v>
      </c>
      <c r="I290" t="s">
        <v>932</v>
      </c>
      <c r="J290" t="s">
        <v>933</v>
      </c>
      <c r="K290" t="s">
        <v>934</v>
      </c>
      <c r="L290">
        <v>1346</v>
      </c>
      <c r="N290">
        <v>1009</v>
      </c>
      <c r="O290" t="s">
        <v>300</v>
      </c>
      <c r="P290" t="s">
        <v>300</v>
      </c>
      <c r="Q290">
        <v>1</v>
      </c>
      <c r="W290">
        <v>0</v>
      </c>
      <c r="X290">
        <v>210558753</v>
      </c>
      <c r="Y290">
        <v>0.05</v>
      </c>
      <c r="AA290">
        <v>191.91</v>
      </c>
      <c r="AB290">
        <v>0</v>
      </c>
      <c r="AC290">
        <v>0</v>
      </c>
      <c r="AD290">
        <v>0</v>
      </c>
      <c r="AE290">
        <v>28.6</v>
      </c>
      <c r="AF290">
        <v>0</v>
      </c>
      <c r="AG290">
        <v>0</v>
      </c>
      <c r="AH290">
        <v>0</v>
      </c>
      <c r="AI290">
        <v>6.71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6</v>
      </c>
      <c r="AT290">
        <v>0.05</v>
      </c>
      <c r="AU290" t="s">
        <v>6</v>
      </c>
      <c r="AV290">
        <v>0</v>
      </c>
      <c r="AW290">
        <v>2</v>
      </c>
      <c r="AX290">
        <v>16808990</v>
      </c>
      <c r="AY290">
        <v>1</v>
      </c>
      <c r="AZ290">
        <v>0</v>
      </c>
      <c r="BA290">
        <v>268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Y290*Source!I197</f>
        <v>7.4499999999999997E-2</v>
      </c>
      <c r="CY290">
        <f>AA290</f>
        <v>191.91</v>
      </c>
      <c r="CZ290">
        <f>AE290</f>
        <v>28.6</v>
      </c>
      <c r="DA290">
        <f>AI290</f>
        <v>6.71</v>
      </c>
      <c r="DB290">
        <f>ROUND(ROUND(AT290*CZ290,2),2)</f>
        <v>1.43</v>
      </c>
      <c r="DC290">
        <f>ROUND(ROUND(AT290*AG290,2),2)</f>
        <v>0</v>
      </c>
    </row>
    <row r="291" spans="1:107" x14ac:dyDescent="0.2">
      <c r="A291">
        <f>ROW(Source!A197)</f>
        <v>197</v>
      </c>
      <c r="B291">
        <v>16808636</v>
      </c>
      <c r="C291">
        <v>16808974</v>
      </c>
      <c r="D291">
        <v>15221611</v>
      </c>
      <c r="E291">
        <v>1</v>
      </c>
      <c r="F291">
        <v>1</v>
      </c>
      <c r="G291">
        <v>1</v>
      </c>
      <c r="H291">
        <v>3</v>
      </c>
      <c r="I291" t="s">
        <v>490</v>
      </c>
      <c r="J291" t="s">
        <v>492</v>
      </c>
      <c r="K291" t="s">
        <v>491</v>
      </c>
      <c r="L291">
        <v>1477</v>
      </c>
      <c r="N291">
        <v>1013</v>
      </c>
      <c r="O291" t="s">
        <v>463</v>
      </c>
      <c r="P291" t="s">
        <v>465</v>
      </c>
      <c r="Q291">
        <v>1</v>
      </c>
      <c r="W291">
        <v>0</v>
      </c>
      <c r="X291">
        <v>1306444111</v>
      </c>
      <c r="Y291">
        <v>0.1</v>
      </c>
      <c r="AA291">
        <v>7717.77</v>
      </c>
      <c r="AB291">
        <v>0</v>
      </c>
      <c r="AC291">
        <v>0</v>
      </c>
      <c r="AD291">
        <v>0</v>
      </c>
      <c r="AE291">
        <v>1150.19</v>
      </c>
      <c r="AF291">
        <v>0</v>
      </c>
      <c r="AG291">
        <v>0</v>
      </c>
      <c r="AH291">
        <v>0</v>
      </c>
      <c r="AI291">
        <v>6.71</v>
      </c>
      <c r="AJ291">
        <v>1</v>
      </c>
      <c r="AK291">
        <v>1</v>
      </c>
      <c r="AL291">
        <v>1</v>
      </c>
      <c r="AN291">
        <v>0</v>
      </c>
      <c r="AO291">
        <v>0</v>
      </c>
      <c r="AP291">
        <v>0</v>
      </c>
      <c r="AQ291">
        <v>0</v>
      </c>
      <c r="AR291">
        <v>0</v>
      </c>
      <c r="AS291" t="s">
        <v>6</v>
      </c>
      <c r="AT291">
        <v>0.1</v>
      </c>
      <c r="AU291" t="s">
        <v>6</v>
      </c>
      <c r="AV291">
        <v>0</v>
      </c>
      <c r="AW291">
        <v>1</v>
      </c>
      <c r="AX291">
        <v>-1</v>
      </c>
      <c r="AY291">
        <v>0</v>
      </c>
      <c r="AZ291">
        <v>0</v>
      </c>
      <c r="BA291" t="s">
        <v>6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Y291*Source!I197</f>
        <v>0.14899999999999999</v>
      </c>
      <c r="CY291">
        <f>AA291</f>
        <v>7717.77</v>
      </c>
      <c r="CZ291">
        <f>AE291</f>
        <v>1150.19</v>
      </c>
      <c r="DA291">
        <f>AI291</f>
        <v>6.71</v>
      </c>
      <c r="DB291">
        <f>ROUND(ROUND(AT291*CZ291,2),2)</f>
        <v>115.02</v>
      </c>
      <c r="DC291">
        <f>ROUND(ROUND(AT291*AG291,2),2)</f>
        <v>0</v>
      </c>
    </row>
    <row r="292" spans="1:107" x14ac:dyDescent="0.2">
      <c r="A292">
        <f>ROW(Source!A197)</f>
        <v>197</v>
      </c>
      <c r="B292">
        <v>16808636</v>
      </c>
      <c r="C292">
        <v>16808974</v>
      </c>
      <c r="D292">
        <v>15164559</v>
      </c>
      <c r="E292">
        <v>17</v>
      </c>
      <c r="F292">
        <v>1</v>
      </c>
      <c r="G292">
        <v>1</v>
      </c>
      <c r="H292">
        <v>3</v>
      </c>
      <c r="I292" t="s">
        <v>736</v>
      </c>
      <c r="J292" t="s">
        <v>6</v>
      </c>
      <c r="K292" t="s">
        <v>737</v>
      </c>
      <c r="L292">
        <v>1374</v>
      </c>
      <c r="N292">
        <v>1013</v>
      </c>
      <c r="O292" t="s">
        <v>738</v>
      </c>
      <c r="P292" t="s">
        <v>738</v>
      </c>
      <c r="Q292">
        <v>1</v>
      </c>
      <c r="W292">
        <v>0</v>
      </c>
      <c r="X292">
        <v>-1731369543</v>
      </c>
      <c r="Y292">
        <v>0.53</v>
      </c>
      <c r="AA292">
        <v>1</v>
      </c>
      <c r="AB292">
        <v>0</v>
      </c>
      <c r="AC292">
        <v>0</v>
      </c>
      <c r="AD292">
        <v>0</v>
      </c>
      <c r="AE292">
        <v>1</v>
      </c>
      <c r="AF292">
        <v>0</v>
      </c>
      <c r="AG292">
        <v>0</v>
      </c>
      <c r="AH292">
        <v>0</v>
      </c>
      <c r="AI292">
        <v>1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0</v>
      </c>
      <c r="AQ292">
        <v>0</v>
      </c>
      <c r="AR292">
        <v>0</v>
      </c>
      <c r="AS292" t="s">
        <v>6</v>
      </c>
      <c r="AT292">
        <v>0.53</v>
      </c>
      <c r="AU292" t="s">
        <v>6</v>
      </c>
      <c r="AV292">
        <v>0</v>
      </c>
      <c r="AW292">
        <v>2</v>
      </c>
      <c r="AX292">
        <v>16808991</v>
      </c>
      <c r="AY292">
        <v>1</v>
      </c>
      <c r="AZ292">
        <v>0</v>
      </c>
      <c r="BA292">
        <v>269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Y292*Source!I197</f>
        <v>0.78970000000000007</v>
      </c>
      <c r="CY292">
        <f>AA292</f>
        <v>1</v>
      </c>
      <c r="CZ292">
        <f>AE292</f>
        <v>1</v>
      </c>
      <c r="DA292">
        <f>AI292</f>
        <v>1</v>
      </c>
      <c r="DB292">
        <f>ROUND(ROUND(AT292*CZ292,2),2)</f>
        <v>0.53</v>
      </c>
      <c r="DC292">
        <f>ROUND(ROUND(AT292*AG292,2),2)</f>
        <v>0</v>
      </c>
    </row>
    <row r="293" spans="1:107" x14ac:dyDescent="0.2">
      <c r="A293">
        <f>ROW(Source!A199)</f>
        <v>199</v>
      </c>
      <c r="B293">
        <v>16808636</v>
      </c>
      <c r="C293">
        <v>16808993</v>
      </c>
      <c r="D293">
        <v>15446300</v>
      </c>
      <c r="E293">
        <v>1</v>
      </c>
      <c r="F293">
        <v>1</v>
      </c>
      <c r="G293">
        <v>1</v>
      </c>
      <c r="H293">
        <v>1</v>
      </c>
      <c r="I293" t="s">
        <v>944</v>
      </c>
      <c r="J293" t="s">
        <v>6</v>
      </c>
      <c r="K293" t="s">
        <v>945</v>
      </c>
      <c r="L293">
        <v>1191</v>
      </c>
      <c r="N293">
        <v>1013</v>
      </c>
      <c r="O293" t="s">
        <v>708</v>
      </c>
      <c r="P293" t="s">
        <v>708</v>
      </c>
      <c r="Q293">
        <v>1</v>
      </c>
      <c r="W293">
        <v>0</v>
      </c>
      <c r="X293">
        <v>912892513</v>
      </c>
      <c r="Y293">
        <v>41.472000000000001</v>
      </c>
      <c r="AA293">
        <v>0</v>
      </c>
      <c r="AB293">
        <v>0</v>
      </c>
      <c r="AC293">
        <v>0</v>
      </c>
      <c r="AD293">
        <v>66.56</v>
      </c>
      <c r="AE293">
        <v>0</v>
      </c>
      <c r="AF293">
        <v>0</v>
      </c>
      <c r="AG293">
        <v>0</v>
      </c>
      <c r="AH293">
        <v>9.92</v>
      </c>
      <c r="AI293">
        <v>1</v>
      </c>
      <c r="AJ293">
        <v>1</v>
      </c>
      <c r="AK293">
        <v>1</v>
      </c>
      <c r="AL293">
        <v>6.71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6</v>
      </c>
      <c r="AT293">
        <v>34.56</v>
      </c>
      <c r="AU293" t="s">
        <v>443</v>
      </c>
      <c r="AV293">
        <v>1</v>
      </c>
      <c r="AW293">
        <v>2</v>
      </c>
      <c r="AX293">
        <v>16809006</v>
      </c>
      <c r="AY293">
        <v>1</v>
      </c>
      <c r="AZ293">
        <v>0</v>
      </c>
      <c r="BA293">
        <v>270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Y293*Source!I199</f>
        <v>35.66592</v>
      </c>
      <c r="CY293">
        <f>AD293</f>
        <v>66.56</v>
      </c>
      <c r="CZ293">
        <f>AH293</f>
        <v>9.92</v>
      </c>
      <c r="DA293">
        <f>AL293</f>
        <v>6.71</v>
      </c>
      <c r="DB293">
        <f>ROUND((ROUND(AT293*CZ293,2)*1.2),2)</f>
        <v>411.41</v>
      </c>
      <c r="DC293">
        <f>ROUND((ROUND(AT293*AG293,2)*1.2),2)</f>
        <v>0</v>
      </c>
    </row>
    <row r="294" spans="1:107" x14ac:dyDescent="0.2">
      <c r="A294">
        <f>ROW(Source!A199)</f>
        <v>199</v>
      </c>
      <c r="B294">
        <v>16808636</v>
      </c>
      <c r="C294">
        <v>16808993</v>
      </c>
      <c r="D294">
        <v>15430395</v>
      </c>
      <c r="E294">
        <v>1</v>
      </c>
      <c r="F294">
        <v>1</v>
      </c>
      <c r="G294">
        <v>1</v>
      </c>
      <c r="H294">
        <v>1</v>
      </c>
      <c r="I294" t="s">
        <v>709</v>
      </c>
      <c r="J294" t="s">
        <v>6</v>
      </c>
      <c r="K294" t="s">
        <v>710</v>
      </c>
      <c r="L294">
        <v>1191</v>
      </c>
      <c r="N294">
        <v>1013</v>
      </c>
      <c r="O294" t="s">
        <v>708</v>
      </c>
      <c r="P294" t="s">
        <v>708</v>
      </c>
      <c r="Q294">
        <v>1</v>
      </c>
      <c r="W294">
        <v>0</v>
      </c>
      <c r="X294">
        <v>-1417349443</v>
      </c>
      <c r="Y294">
        <v>0.05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1</v>
      </c>
      <c r="AJ294">
        <v>1</v>
      </c>
      <c r="AK294">
        <v>6.71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6</v>
      </c>
      <c r="AT294">
        <v>0.05</v>
      </c>
      <c r="AU294" t="s">
        <v>6</v>
      </c>
      <c r="AV294">
        <v>2</v>
      </c>
      <c r="AW294">
        <v>2</v>
      </c>
      <c r="AX294">
        <v>16809007</v>
      </c>
      <c r="AY294">
        <v>1</v>
      </c>
      <c r="AZ294">
        <v>2048</v>
      </c>
      <c r="BA294">
        <v>271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Y294*Source!I199</f>
        <v>4.3000000000000003E-2</v>
      </c>
      <c r="CY294">
        <f>AD294</f>
        <v>0</v>
      </c>
      <c r="CZ294">
        <f>AH294</f>
        <v>0</v>
      </c>
      <c r="DA294">
        <f>AL294</f>
        <v>1</v>
      </c>
      <c r="DB294">
        <f>ROUND(ROUND(AT294*CZ294,2),2)</f>
        <v>0</v>
      </c>
      <c r="DC294">
        <f>ROUND(ROUND(AT294*AG294,2),2)</f>
        <v>0</v>
      </c>
    </row>
    <row r="295" spans="1:107" x14ac:dyDescent="0.2">
      <c r="A295">
        <f>ROW(Source!A199)</f>
        <v>199</v>
      </c>
      <c r="B295">
        <v>16808636</v>
      </c>
      <c r="C295">
        <v>16808993</v>
      </c>
      <c r="D295">
        <v>15247680</v>
      </c>
      <c r="E295">
        <v>1</v>
      </c>
      <c r="F295">
        <v>1</v>
      </c>
      <c r="G295">
        <v>1</v>
      </c>
      <c r="H295">
        <v>2</v>
      </c>
      <c r="I295" t="s">
        <v>721</v>
      </c>
      <c r="J295" t="s">
        <v>722</v>
      </c>
      <c r="K295" t="s">
        <v>723</v>
      </c>
      <c r="L295">
        <v>1368</v>
      </c>
      <c r="N295">
        <v>1011</v>
      </c>
      <c r="O295" t="s">
        <v>714</v>
      </c>
      <c r="P295" t="s">
        <v>714</v>
      </c>
      <c r="Q295">
        <v>1</v>
      </c>
      <c r="W295">
        <v>0</v>
      </c>
      <c r="X295">
        <v>-1718674368</v>
      </c>
      <c r="Y295">
        <v>3.5999999999999997E-2</v>
      </c>
      <c r="AA295">
        <v>0</v>
      </c>
      <c r="AB295">
        <v>751.45</v>
      </c>
      <c r="AC295">
        <v>13.5</v>
      </c>
      <c r="AD295">
        <v>0</v>
      </c>
      <c r="AE295">
        <v>0</v>
      </c>
      <c r="AF295">
        <v>111.99</v>
      </c>
      <c r="AG295">
        <v>13.5</v>
      </c>
      <c r="AH295">
        <v>0</v>
      </c>
      <c r="AI295">
        <v>1</v>
      </c>
      <c r="AJ295">
        <v>6.71</v>
      </c>
      <c r="AK295">
        <v>1</v>
      </c>
      <c r="AL295">
        <v>1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6</v>
      </c>
      <c r="AT295">
        <v>0.03</v>
      </c>
      <c r="AU295" t="s">
        <v>443</v>
      </c>
      <c r="AV295">
        <v>0</v>
      </c>
      <c r="AW295">
        <v>2</v>
      </c>
      <c r="AX295">
        <v>16809008</v>
      </c>
      <c r="AY295">
        <v>1</v>
      </c>
      <c r="AZ295">
        <v>0</v>
      </c>
      <c r="BA295">
        <v>272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Y295*Source!I199</f>
        <v>3.0959999999999998E-2</v>
      </c>
      <c r="CY295">
        <f>AB295</f>
        <v>751.45</v>
      </c>
      <c r="CZ295">
        <f>AF295</f>
        <v>111.99</v>
      </c>
      <c r="DA295">
        <f>AJ295</f>
        <v>6.71</v>
      </c>
      <c r="DB295">
        <f>ROUND((ROUND(AT295*CZ295,2)*1.2),2)</f>
        <v>4.03</v>
      </c>
      <c r="DC295">
        <f>ROUND((ROUND(AT295*AG295,2)*1.2),2)</f>
        <v>0.49</v>
      </c>
    </row>
    <row r="296" spans="1:107" x14ac:dyDescent="0.2">
      <c r="A296">
        <f>ROW(Source!A199)</f>
        <v>199</v>
      </c>
      <c r="B296">
        <v>16808636</v>
      </c>
      <c r="C296">
        <v>16808993</v>
      </c>
      <c r="D296">
        <v>15249073</v>
      </c>
      <c r="E296">
        <v>1</v>
      </c>
      <c r="F296">
        <v>1</v>
      </c>
      <c r="G296">
        <v>1</v>
      </c>
      <c r="H296">
        <v>2</v>
      </c>
      <c r="I296" t="s">
        <v>724</v>
      </c>
      <c r="J296" t="s">
        <v>725</v>
      </c>
      <c r="K296" t="s">
        <v>726</v>
      </c>
      <c r="L296">
        <v>1368</v>
      </c>
      <c r="N296">
        <v>1011</v>
      </c>
      <c r="O296" t="s">
        <v>714</v>
      </c>
      <c r="P296" t="s">
        <v>714</v>
      </c>
      <c r="Q296">
        <v>1</v>
      </c>
      <c r="W296">
        <v>0</v>
      </c>
      <c r="X296">
        <v>1372534845</v>
      </c>
      <c r="Y296">
        <v>2.4E-2</v>
      </c>
      <c r="AA296">
        <v>0</v>
      </c>
      <c r="AB296">
        <v>440.91</v>
      </c>
      <c r="AC296">
        <v>11.6</v>
      </c>
      <c r="AD296">
        <v>0</v>
      </c>
      <c r="AE296">
        <v>0</v>
      </c>
      <c r="AF296">
        <v>65.709999999999994</v>
      </c>
      <c r="AG296">
        <v>11.6</v>
      </c>
      <c r="AH296">
        <v>0</v>
      </c>
      <c r="AI296">
        <v>1</v>
      </c>
      <c r="AJ296">
        <v>6.71</v>
      </c>
      <c r="AK296">
        <v>1</v>
      </c>
      <c r="AL296">
        <v>1</v>
      </c>
      <c r="AN296">
        <v>0</v>
      </c>
      <c r="AO296">
        <v>1</v>
      </c>
      <c r="AP296">
        <v>1</v>
      </c>
      <c r="AQ296">
        <v>0</v>
      </c>
      <c r="AR296">
        <v>0</v>
      </c>
      <c r="AS296" t="s">
        <v>6</v>
      </c>
      <c r="AT296">
        <v>0.02</v>
      </c>
      <c r="AU296" t="s">
        <v>443</v>
      </c>
      <c r="AV296">
        <v>0</v>
      </c>
      <c r="AW296">
        <v>2</v>
      </c>
      <c r="AX296">
        <v>16809009</v>
      </c>
      <c r="AY296">
        <v>1</v>
      </c>
      <c r="AZ296">
        <v>0</v>
      </c>
      <c r="BA296">
        <v>273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Y296*Source!I199</f>
        <v>2.0639999999999999E-2</v>
      </c>
      <c r="CY296">
        <f>AB296</f>
        <v>440.91</v>
      </c>
      <c r="CZ296">
        <f>AF296</f>
        <v>65.709999999999994</v>
      </c>
      <c r="DA296">
        <f>AJ296</f>
        <v>6.71</v>
      </c>
      <c r="DB296">
        <f>ROUND((ROUND(AT296*CZ296,2)*1.2),2)</f>
        <v>1.57</v>
      </c>
      <c r="DC296">
        <f>ROUND((ROUND(AT296*AG296,2)*1.2),2)</f>
        <v>0.28000000000000003</v>
      </c>
    </row>
    <row r="297" spans="1:107" x14ac:dyDescent="0.2">
      <c r="A297">
        <f>ROW(Source!A199)</f>
        <v>199</v>
      </c>
      <c r="B297">
        <v>16808636</v>
      </c>
      <c r="C297">
        <v>16808993</v>
      </c>
      <c r="D297">
        <v>15167588</v>
      </c>
      <c r="E297">
        <v>1</v>
      </c>
      <c r="F297">
        <v>1</v>
      </c>
      <c r="G297">
        <v>1</v>
      </c>
      <c r="H297">
        <v>3</v>
      </c>
      <c r="I297" t="s">
        <v>727</v>
      </c>
      <c r="J297" t="s">
        <v>728</v>
      </c>
      <c r="K297" t="s">
        <v>729</v>
      </c>
      <c r="L297">
        <v>1346</v>
      </c>
      <c r="N297">
        <v>1009</v>
      </c>
      <c r="O297" t="s">
        <v>300</v>
      </c>
      <c r="P297" t="s">
        <v>300</v>
      </c>
      <c r="Q297">
        <v>1</v>
      </c>
      <c r="W297">
        <v>0</v>
      </c>
      <c r="X297">
        <v>-1088866022</v>
      </c>
      <c r="Y297">
        <v>0.11</v>
      </c>
      <c r="AA297">
        <v>203.98</v>
      </c>
      <c r="AB297">
        <v>0</v>
      </c>
      <c r="AC297">
        <v>0</v>
      </c>
      <c r="AD297">
        <v>0</v>
      </c>
      <c r="AE297">
        <v>30.4</v>
      </c>
      <c r="AF297">
        <v>0</v>
      </c>
      <c r="AG297">
        <v>0</v>
      </c>
      <c r="AH297">
        <v>0</v>
      </c>
      <c r="AI297">
        <v>6.71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6</v>
      </c>
      <c r="AT297">
        <v>0.11</v>
      </c>
      <c r="AU297" t="s">
        <v>6</v>
      </c>
      <c r="AV297">
        <v>0</v>
      </c>
      <c r="AW297">
        <v>2</v>
      </c>
      <c r="AX297">
        <v>16809010</v>
      </c>
      <c r="AY297">
        <v>1</v>
      </c>
      <c r="AZ297">
        <v>0</v>
      </c>
      <c r="BA297">
        <v>274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Y297*Source!I199</f>
        <v>9.4600000000000004E-2</v>
      </c>
      <c r="CY297">
        <f t="shared" ref="CY297:CY303" si="54">AA297</f>
        <v>203.98</v>
      </c>
      <c r="CZ297">
        <f t="shared" ref="CZ297:CZ303" si="55">AE297</f>
        <v>30.4</v>
      </c>
      <c r="DA297">
        <f t="shared" ref="DA297:DA303" si="56">AI297</f>
        <v>6.71</v>
      </c>
      <c r="DB297">
        <f t="shared" ref="DB297:DB303" si="57">ROUND(ROUND(AT297*CZ297,2),2)</f>
        <v>3.34</v>
      </c>
      <c r="DC297">
        <f t="shared" ref="DC297:DC303" si="58">ROUND(ROUND(AT297*AG297,2),2)</f>
        <v>0</v>
      </c>
    </row>
    <row r="298" spans="1:107" x14ac:dyDescent="0.2">
      <c r="A298">
        <f>ROW(Source!A199)</f>
        <v>199</v>
      </c>
      <c r="B298">
        <v>16808636</v>
      </c>
      <c r="C298">
        <v>16808993</v>
      </c>
      <c r="D298">
        <v>15170074</v>
      </c>
      <c r="E298">
        <v>1</v>
      </c>
      <c r="F298">
        <v>1</v>
      </c>
      <c r="G298">
        <v>1</v>
      </c>
      <c r="H298">
        <v>3</v>
      </c>
      <c r="I298" t="s">
        <v>946</v>
      </c>
      <c r="J298" t="s">
        <v>947</v>
      </c>
      <c r="K298" t="s">
        <v>948</v>
      </c>
      <c r="L298">
        <v>1355</v>
      </c>
      <c r="N298">
        <v>1010</v>
      </c>
      <c r="O298" t="s">
        <v>326</v>
      </c>
      <c r="P298" t="s">
        <v>326</v>
      </c>
      <c r="Q298">
        <v>100</v>
      </c>
      <c r="W298">
        <v>0</v>
      </c>
      <c r="X298">
        <v>1794244060</v>
      </c>
      <c r="Y298">
        <v>1.02</v>
      </c>
      <c r="AA298">
        <v>577.05999999999995</v>
      </c>
      <c r="AB298">
        <v>0</v>
      </c>
      <c r="AC298">
        <v>0</v>
      </c>
      <c r="AD298">
        <v>0</v>
      </c>
      <c r="AE298">
        <v>86</v>
      </c>
      <c r="AF298">
        <v>0</v>
      </c>
      <c r="AG298">
        <v>0</v>
      </c>
      <c r="AH298">
        <v>0</v>
      </c>
      <c r="AI298">
        <v>6.71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6</v>
      </c>
      <c r="AT298">
        <v>1.02</v>
      </c>
      <c r="AU298" t="s">
        <v>6</v>
      </c>
      <c r="AV298">
        <v>0</v>
      </c>
      <c r="AW298">
        <v>2</v>
      </c>
      <c r="AX298">
        <v>16809011</v>
      </c>
      <c r="AY298">
        <v>1</v>
      </c>
      <c r="AZ298">
        <v>0</v>
      </c>
      <c r="BA298">
        <v>275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Y298*Source!I199</f>
        <v>0.87719999999999998</v>
      </c>
      <c r="CY298">
        <f t="shared" si="54"/>
        <v>577.05999999999995</v>
      </c>
      <c r="CZ298">
        <f t="shared" si="55"/>
        <v>86</v>
      </c>
      <c r="DA298">
        <f t="shared" si="56"/>
        <v>6.71</v>
      </c>
      <c r="DB298">
        <f t="shared" si="57"/>
        <v>87.72</v>
      </c>
      <c r="DC298">
        <f t="shared" si="58"/>
        <v>0</v>
      </c>
    </row>
    <row r="299" spans="1:107" x14ac:dyDescent="0.2">
      <c r="A299">
        <f>ROW(Source!A199)</f>
        <v>199</v>
      </c>
      <c r="B299">
        <v>16808636</v>
      </c>
      <c r="C299">
        <v>16808993</v>
      </c>
      <c r="D299">
        <v>15170434</v>
      </c>
      <c r="E299">
        <v>1</v>
      </c>
      <c r="F299">
        <v>1</v>
      </c>
      <c r="G299">
        <v>1</v>
      </c>
      <c r="H299">
        <v>3</v>
      </c>
      <c r="I299" t="s">
        <v>949</v>
      </c>
      <c r="J299" t="s">
        <v>950</v>
      </c>
      <c r="K299" t="s">
        <v>951</v>
      </c>
      <c r="L299">
        <v>1348</v>
      </c>
      <c r="N299">
        <v>1009</v>
      </c>
      <c r="O299" t="s">
        <v>104</v>
      </c>
      <c r="P299" t="s">
        <v>104</v>
      </c>
      <c r="Q299">
        <v>1000</v>
      </c>
      <c r="W299">
        <v>0</v>
      </c>
      <c r="X299">
        <v>797358079</v>
      </c>
      <c r="Y299">
        <v>1.6000000000000001E-4</v>
      </c>
      <c r="AA299">
        <v>199958</v>
      </c>
      <c r="AB299">
        <v>0</v>
      </c>
      <c r="AC299">
        <v>0</v>
      </c>
      <c r="AD299">
        <v>0</v>
      </c>
      <c r="AE299">
        <v>29800</v>
      </c>
      <c r="AF299">
        <v>0</v>
      </c>
      <c r="AG299">
        <v>0</v>
      </c>
      <c r="AH299">
        <v>0</v>
      </c>
      <c r="AI299">
        <v>6.71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6</v>
      </c>
      <c r="AT299">
        <v>1.6000000000000001E-4</v>
      </c>
      <c r="AU299" t="s">
        <v>6</v>
      </c>
      <c r="AV299">
        <v>0</v>
      </c>
      <c r="AW299">
        <v>2</v>
      </c>
      <c r="AX299">
        <v>16809012</v>
      </c>
      <c r="AY299">
        <v>1</v>
      </c>
      <c r="AZ299">
        <v>0</v>
      </c>
      <c r="BA299">
        <v>276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Y299*Source!I199</f>
        <v>1.3760000000000001E-4</v>
      </c>
      <c r="CY299">
        <f t="shared" si="54"/>
        <v>199958</v>
      </c>
      <c r="CZ299">
        <f t="shared" si="55"/>
        <v>29800</v>
      </c>
      <c r="DA299">
        <f t="shared" si="56"/>
        <v>6.71</v>
      </c>
      <c r="DB299">
        <f t="shared" si="57"/>
        <v>4.7699999999999996</v>
      </c>
      <c r="DC299">
        <f t="shared" si="58"/>
        <v>0</v>
      </c>
    </row>
    <row r="300" spans="1:107" x14ac:dyDescent="0.2">
      <c r="A300">
        <f>ROW(Source!A199)</f>
        <v>199</v>
      </c>
      <c r="B300">
        <v>16808636</v>
      </c>
      <c r="C300">
        <v>16808993</v>
      </c>
      <c r="D300">
        <v>15170438</v>
      </c>
      <c r="E300">
        <v>1</v>
      </c>
      <c r="F300">
        <v>1</v>
      </c>
      <c r="G300">
        <v>1</v>
      </c>
      <c r="H300">
        <v>3</v>
      </c>
      <c r="I300" t="s">
        <v>745</v>
      </c>
      <c r="J300" t="s">
        <v>746</v>
      </c>
      <c r="K300" t="s">
        <v>747</v>
      </c>
      <c r="L300">
        <v>1348</v>
      </c>
      <c r="N300">
        <v>1009</v>
      </c>
      <c r="O300" t="s">
        <v>104</v>
      </c>
      <c r="P300" t="s">
        <v>104</v>
      </c>
      <c r="Q300">
        <v>1000</v>
      </c>
      <c r="W300">
        <v>0</v>
      </c>
      <c r="X300">
        <v>-1755229539</v>
      </c>
      <c r="Y300">
        <v>2.9999999999999997E-4</v>
      </c>
      <c r="AA300">
        <v>83405.3</v>
      </c>
      <c r="AB300">
        <v>0</v>
      </c>
      <c r="AC300">
        <v>0</v>
      </c>
      <c r="AD300">
        <v>0</v>
      </c>
      <c r="AE300">
        <v>12430</v>
      </c>
      <c r="AF300">
        <v>0</v>
      </c>
      <c r="AG300">
        <v>0</v>
      </c>
      <c r="AH300">
        <v>0</v>
      </c>
      <c r="AI300">
        <v>6.71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6</v>
      </c>
      <c r="AT300">
        <v>2.9999999999999997E-4</v>
      </c>
      <c r="AU300" t="s">
        <v>6</v>
      </c>
      <c r="AV300">
        <v>0</v>
      </c>
      <c r="AW300">
        <v>2</v>
      </c>
      <c r="AX300">
        <v>16809013</v>
      </c>
      <c r="AY300">
        <v>1</v>
      </c>
      <c r="AZ300">
        <v>0</v>
      </c>
      <c r="BA300">
        <v>277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Y300*Source!I199</f>
        <v>2.5799999999999998E-4</v>
      </c>
      <c r="CY300">
        <f t="shared" si="54"/>
        <v>83405.3</v>
      </c>
      <c r="CZ300">
        <f t="shared" si="55"/>
        <v>12430</v>
      </c>
      <c r="DA300">
        <f t="shared" si="56"/>
        <v>6.71</v>
      </c>
      <c r="DB300">
        <f t="shared" si="57"/>
        <v>3.73</v>
      </c>
      <c r="DC300">
        <f t="shared" si="58"/>
        <v>0</v>
      </c>
    </row>
    <row r="301" spans="1:107" x14ac:dyDescent="0.2">
      <c r="A301">
        <f>ROW(Source!A199)</f>
        <v>199</v>
      </c>
      <c r="B301">
        <v>16808636</v>
      </c>
      <c r="C301">
        <v>16808993</v>
      </c>
      <c r="D301">
        <v>15220786</v>
      </c>
      <c r="E301">
        <v>1</v>
      </c>
      <c r="F301">
        <v>1</v>
      </c>
      <c r="G301">
        <v>1</v>
      </c>
      <c r="H301">
        <v>3</v>
      </c>
      <c r="I301" t="s">
        <v>498</v>
      </c>
      <c r="J301" t="s">
        <v>500</v>
      </c>
      <c r="K301" t="s">
        <v>499</v>
      </c>
      <c r="L301">
        <v>1355</v>
      </c>
      <c r="N301">
        <v>1010</v>
      </c>
      <c r="O301" t="s">
        <v>326</v>
      </c>
      <c r="P301" t="s">
        <v>326</v>
      </c>
      <c r="Q301">
        <v>100</v>
      </c>
      <c r="W301">
        <v>0</v>
      </c>
      <c r="X301">
        <v>-1618980659</v>
      </c>
      <c r="Y301">
        <v>0.83720899999999998</v>
      </c>
      <c r="AA301">
        <v>51096.65</v>
      </c>
      <c r="AB301">
        <v>0</v>
      </c>
      <c r="AC301">
        <v>0</v>
      </c>
      <c r="AD301">
        <v>0</v>
      </c>
      <c r="AE301">
        <v>7615</v>
      </c>
      <c r="AF301">
        <v>0</v>
      </c>
      <c r="AG301">
        <v>0</v>
      </c>
      <c r="AH301">
        <v>0</v>
      </c>
      <c r="AI301">
        <v>6.71</v>
      </c>
      <c r="AJ301">
        <v>1</v>
      </c>
      <c r="AK301">
        <v>1</v>
      </c>
      <c r="AL301">
        <v>1</v>
      </c>
      <c r="AN301">
        <v>0</v>
      </c>
      <c r="AO301">
        <v>0</v>
      </c>
      <c r="AP301">
        <v>0</v>
      </c>
      <c r="AQ301">
        <v>0</v>
      </c>
      <c r="AR301">
        <v>0</v>
      </c>
      <c r="AS301" t="s">
        <v>6</v>
      </c>
      <c r="AT301">
        <v>0.83720899999999998</v>
      </c>
      <c r="AU301" t="s">
        <v>6</v>
      </c>
      <c r="AV301">
        <v>0</v>
      </c>
      <c r="AW301">
        <v>1</v>
      </c>
      <c r="AX301">
        <v>-1</v>
      </c>
      <c r="AY301">
        <v>0</v>
      </c>
      <c r="AZ301">
        <v>0</v>
      </c>
      <c r="BA301" t="s">
        <v>6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Y301*Source!I199</f>
        <v>0.71999974</v>
      </c>
      <c r="CY301">
        <f t="shared" si="54"/>
        <v>51096.65</v>
      </c>
      <c r="CZ301">
        <f t="shared" si="55"/>
        <v>7615</v>
      </c>
      <c r="DA301">
        <f t="shared" si="56"/>
        <v>6.71</v>
      </c>
      <c r="DB301">
        <f t="shared" si="57"/>
        <v>6375.35</v>
      </c>
      <c r="DC301">
        <f t="shared" si="58"/>
        <v>0</v>
      </c>
    </row>
    <row r="302" spans="1:107" x14ac:dyDescent="0.2">
      <c r="A302">
        <f>ROW(Source!A199)</f>
        <v>199</v>
      </c>
      <c r="B302">
        <v>16808636</v>
      </c>
      <c r="C302">
        <v>16808993</v>
      </c>
      <c r="D302">
        <v>15220790</v>
      </c>
      <c r="E302">
        <v>1</v>
      </c>
      <c r="F302">
        <v>1</v>
      </c>
      <c r="G302">
        <v>1</v>
      </c>
      <c r="H302">
        <v>3</v>
      </c>
      <c r="I302" t="s">
        <v>502</v>
      </c>
      <c r="J302" t="s">
        <v>504</v>
      </c>
      <c r="K302" t="s">
        <v>503</v>
      </c>
      <c r="L302">
        <v>1355</v>
      </c>
      <c r="N302">
        <v>1010</v>
      </c>
      <c r="O302" t="s">
        <v>326</v>
      </c>
      <c r="P302" t="s">
        <v>326</v>
      </c>
      <c r="Q302">
        <v>100</v>
      </c>
      <c r="W302">
        <v>0</v>
      </c>
      <c r="X302">
        <v>-863365960</v>
      </c>
      <c r="Y302">
        <v>0.16279099999999999</v>
      </c>
      <c r="AA302">
        <v>4710.42</v>
      </c>
      <c r="AB302">
        <v>0</v>
      </c>
      <c r="AC302">
        <v>0</v>
      </c>
      <c r="AD302">
        <v>0</v>
      </c>
      <c r="AE302">
        <v>702</v>
      </c>
      <c r="AF302">
        <v>0</v>
      </c>
      <c r="AG302">
        <v>0</v>
      </c>
      <c r="AH302">
        <v>0</v>
      </c>
      <c r="AI302">
        <v>6.71</v>
      </c>
      <c r="AJ302">
        <v>1</v>
      </c>
      <c r="AK302">
        <v>1</v>
      </c>
      <c r="AL302">
        <v>1</v>
      </c>
      <c r="AN302">
        <v>0</v>
      </c>
      <c r="AO302">
        <v>0</v>
      </c>
      <c r="AP302">
        <v>0</v>
      </c>
      <c r="AQ302">
        <v>0</v>
      </c>
      <c r="AR302">
        <v>0</v>
      </c>
      <c r="AS302" t="s">
        <v>6</v>
      </c>
      <c r="AT302">
        <v>0.16279099999999999</v>
      </c>
      <c r="AU302" t="s">
        <v>6</v>
      </c>
      <c r="AV302">
        <v>0</v>
      </c>
      <c r="AW302">
        <v>1</v>
      </c>
      <c r="AX302">
        <v>-1</v>
      </c>
      <c r="AY302">
        <v>0</v>
      </c>
      <c r="AZ302">
        <v>0</v>
      </c>
      <c r="BA302" t="s">
        <v>6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Y302*Source!I199</f>
        <v>0.14000025999999999</v>
      </c>
      <c r="CY302">
        <f t="shared" si="54"/>
        <v>4710.42</v>
      </c>
      <c r="CZ302">
        <f t="shared" si="55"/>
        <v>702</v>
      </c>
      <c r="DA302">
        <f t="shared" si="56"/>
        <v>6.71</v>
      </c>
      <c r="DB302">
        <f t="shared" si="57"/>
        <v>114.28</v>
      </c>
      <c r="DC302">
        <f t="shared" si="58"/>
        <v>0</v>
      </c>
    </row>
    <row r="303" spans="1:107" x14ac:dyDescent="0.2">
      <c r="A303">
        <f>ROW(Source!A199)</f>
        <v>199</v>
      </c>
      <c r="B303">
        <v>16808636</v>
      </c>
      <c r="C303">
        <v>16808993</v>
      </c>
      <c r="D303">
        <v>15164559</v>
      </c>
      <c r="E303">
        <v>17</v>
      </c>
      <c r="F303">
        <v>1</v>
      </c>
      <c r="G303">
        <v>1</v>
      </c>
      <c r="H303">
        <v>3</v>
      </c>
      <c r="I303" t="s">
        <v>736</v>
      </c>
      <c r="J303" t="s">
        <v>6</v>
      </c>
      <c r="K303" t="s">
        <v>737</v>
      </c>
      <c r="L303">
        <v>1374</v>
      </c>
      <c r="N303">
        <v>1013</v>
      </c>
      <c r="O303" t="s">
        <v>738</v>
      </c>
      <c r="P303" t="s">
        <v>738</v>
      </c>
      <c r="Q303">
        <v>1</v>
      </c>
      <c r="W303">
        <v>0</v>
      </c>
      <c r="X303">
        <v>-1731369543</v>
      </c>
      <c r="Y303">
        <v>6.86</v>
      </c>
      <c r="AA303">
        <v>1</v>
      </c>
      <c r="AB303">
        <v>0</v>
      </c>
      <c r="AC303">
        <v>0</v>
      </c>
      <c r="AD303">
        <v>0</v>
      </c>
      <c r="AE303">
        <v>1</v>
      </c>
      <c r="AF303">
        <v>0</v>
      </c>
      <c r="AG303">
        <v>0</v>
      </c>
      <c r="AH303">
        <v>0</v>
      </c>
      <c r="AI303">
        <v>1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6</v>
      </c>
      <c r="AT303">
        <v>6.86</v>
      </c>
      <c r="AU303" t="s">
        <v>6</v>
      </c>
      <c r="AV303">
        <v>0</v>
      </c>
      <c r="AW303">
        <v>2</v>
      </c>
      <c r="AX303">
        <v>16809014</v>
      </c>
      <c r="AY303">
        <v>1</v>
      </c>
      <c r="AZ303">
        <v>0</v>
      </c>
      <c r="BA303">
        <v>278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Y303*Source!I199</f>
        <v>5.8996000000000004</v>
      </c>
      <c r="CY303">
        <f t="shared" si="54"/>
        <v>1</v>
      </c>
      <c r="CZ303">
        <f t="shared" si="55"/>
        <v>1</v>
      </c>
      <c r="DA303">
        <f t="shared" si="56"/>
        <v>1</v>
      </c>
      <c r="DB303">
        <f t="shared" si="57"/>
        <v>6.86</v>
      </c>
      <c r="DC303">
        <f t="shared" si="58"/>
        <v>0</v>
      </c>
    </row>
    <row r="304" spans="1:107" x14ac:dyDescent="0.2">
      <c r="A304">
        <f>ROW(Source!A202)</f>
        <v>202</v>
      </c>
      <c r="B304">
        <v>16808636</v>
      </c>
      <c r="C304">
        <v>16809017</v>
      </c>
      <c r="D304">
        <v>15446300</v>
      </c>
      <c r="E304">
        <v>1</v>
      </c>
      <c r="F304">
        <v>1</v>
      </c>
      <c r="G304">
        <v>1</v>
      </c>
      <c r="H304">
        <v>1</v>
      </c>
      <c r="I304" t="s">
        <v>944</v>
      </c>
      <c r="J304" t="s">
        <v>6</v>
      </c>
      <c r="K304" t="s">
        <v>945</v>
      </c>
      <c r="L304">
        <v>1191</v>
      </c>
      <c r="N304">
        <v>1013</v>
      </c>
      <c r="O304" t="s">
        <v>708</v>
      </c>
      <c r="P304" t="s">
        <v>708</v>
      </c>
      <c r="Q304">
        <v>1</v>
      </c>
      <c r="W304">
        <v>0</v>
      </c>
      <c r="X304">
        <v>912892513</v>
      </c>
      <c r="Y304">
        <v>42.155999999999999</v>
      </c>
      <c r="AA304">
        <v>0</v>
      </c>
      <c r="AB304">
        <v>0</v>
      </c>
      <c r="AC304">
        <v>0</v>
      </c>
      <c r="AD304">
        <v>66.56</v>
      </c>
      <c r="AE304">
        <v>0</v>
      </c>
      <c r="AF304">
        <v>0</v>
      </c>
      <c r="AG304">
        <v>0</v>
      </c>
      <c r="AH304">
        <v>9.92</v>
      </c>
      <c r="AI304">
        <v>1</v>
      </c>
      <c r="AJ304">
        <v>1</v>
      </c>
      <c r="AK304">
        <v>1</v>
      </c>
      <c r="AL304">
        <v>6.71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6</v>
      </c>
      <c r="AT304">
        <v>35.130000000000003</v>
      </c>
      <c r="AU304" t="s">
        <v>443</v>
      </c>
      <c r="AV304">
        <v>1</v>
      </c>
      <c r="AW304">
        <v>2</v>
      </c>
      <c r="AX304">
        <v>16809027</v>
      </c>
      <c r="AY304">
        <v>1</v>
      </c>
      <c r="AZ304">
        <v>0</v>
      </c>
      <c r="BA304">
        <v>279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Y304*Source!I202</f>
        <v>3.3724799999999999</v>
      </c>
      <c r="CY304">
        <f>AD304</f>
        <v>66.56</v>
      </c>
      <c r="CZ304">
        <f>AH304</f>
        <v>9.92</v>
      </c>
      <c r="DA304">
        <f>AL304</f>
        <v>6.71</v>
      </c>
      <c r="DB304">
        <f>ROUND((ROUND(AT304*CZ304,2)*1.2),2)</f>
        <v>418.19</v>
      </c>
      <c r="DC304">
        <f>ROUND((ROUND(AT304*AG304,2)*1.2),2)</f>
        <v>0</v>
      </c>
    </row>
    <row r="305" spans="1:107" x14ac:dyDescent="0.2">
      <c r="A305">
        <f>ROW(Source!A202)</f>
        <v>202</v>
      </c>
      <c r="B305">
        <v>16808636</v>
      </c>
      <c r="C305">
        <v>16809017</v>
      </c>
      <c r="D305">
        <v>15430395</v>
      </c>
      <c r="E305">
        <v>1</v>
      </c>
      <c r="F305">
        <v>1</v>
      </c>
      <c r="G305">
        <v>1</v>
      </c>
      <c r="H305">
        <v>1</v>
      </c>
      <c r="I305" t="s">
        <v>709</v>
      </c>
      <c r="J305" t="s">
        <v>6</v>
      </c>
      <c r="K305" t="s">
        <v>710</v>
      </c>
      <c r="L305">
        <v>1191</v>
      </c>
      <c r="N305">
        <v>1013</v>
      </c>
      <c r="O305" t="s">
        <v>708</v>
      </c>
      <c r="P305" t="s">
        <v>708</v>
      </c>
      <c r="Q305">
        <v>1</v>
      </c>
      <c r="W305">
        <v>0</v>
      </c>
      <c r="X305">
        <v>-1417349443</v>
      </c>
      <c r="Y305">
        <v>0.05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1</v>
      </c>
      <c r="AJ305">
        <v>1</v>
      </c>
      <c r="AK305">
        <v>6.71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6</v>
      </c>
      <c r="AT305">
        <v>0.05</v>
      </c>
      <c r="AU305" t="s">
        <v>6</v>
      </c>
      <c r="AV305">
        <v>2</v>
      </c>
      <c r="AW305">
        <v>2</v>
      </c>
      <c r="AX305">
        <v>16809028</v>
      </c>
      <c r="AY305">
        <v>1</v>
      </c>
      <c r="AZ305">
        <v>2048</v>
      </c>
      <c r="BA305">
        <v>280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Y305*Source!I202</f>
        <v>4.0000000000000001E-3</v>
      </c>
      <c r="CY305">
        <f>AD305</f>
        <v>0</v>
      </c>
      <c r="CZ305">
        <f>AH305</f>
        <v>0</v>
      </c>
      <c r="DA305">
        <f>AL305</f>
        <v>1</v>
      </c>
      <c r="DB305">
        <f>ROUND(ROUND(AT305*CZ305,2),2)</f>
        <v>0</v>
      </c>
      <c r="DC305">
        <f>ROUND(ROUND(AT305*AG305,2),2)</f>
        <v>0</v>
      </c>
    </row>
    <row r="306" spans="1:107" x14ac:dyDescent="0.2">
      <c r="A306">
        <f>ROW(Source!A202)</f>
        <v>202</v>
      </c>
      <c r="B306">
        <v>16808636</v>
      </c>
      <c r="C306">
        <v>16809017</v>
      </c>
      <c r="D306">
        <v>15247680</v>
      </c>
      <c r="E306">
        <v>1</v>
      </c>
      <c r="F306">
        <v>1</v>
      </c>
      <c r="G306">
        <v>1</v>
      </c>
      <c r="H306">
        <v>2</v>
      </c>
      <c r="I306" t="s">
        <v>721</v>
      </c>
      <c r="J306" t="s">
        <v>722</v>
      </c>
      <c r="K306" t="s">
        <v>723</v>
      </c>
      <c r="L306">
        <v>1368</v>
      </c>
      <c r="N306">
        <v>1011</v>
      </c>
      <c r="O306" t="s">
        <v>714</v>
      </c>
      <c r="P306" t="s">
        <v>714</v>
      </c>
      <c r="Q306">
        <v>1</v>
      </c>
      <c r="W306">
        <v>0</v>
      </c>
      <c r="X306">
        <v>-1718674368</v>
      </c>
      <c r="Y306">
        <v>3.5999999999999997E-2</v>
      </c>
      <c r="AA306">
        <v>0</v>
      </c>
      <c r="AB306">
        <v>751.45</v>
      </c>
      <c r="AC306">
        <v>13.5</v>
      </c>
      <c r="AD306">
        <v>0</v>
      </c>
      <c r="AE306">
        <v>0</v>
      </c>
      <c r="AF306">
        <v>111.99</v>
      </c>
      <c r="AG306">
        <v>13.5</v>
      </c>
      <c r="AH306">
        <v>0</v>
      </c>
      <c r="AI306">
        <v>1</v>
      </c>
      <c r="AJ306">
        <v>6.71</v>
      </c>
      <c r="AK306">
        <v>1</v>
      </c>
      <c r="AL306">
        <v>1</v>
      </c>
      <c r="AN306">
        <v>0</v>
      </c>
      <c r="AO306">
        <v>1</v>
      </c>
      <c r="AP306">
        <v>1</v>
      </c>
      <c r="AQ306">
        <v>0</v>
      </c>
      <c r="AR306">
        <v>0</v>
      </c>
      <c r="AS306" t="s">
        <v>6</v>
      </c>
      <c r="AT306">
        <v>0.03</v>
      </c>
      <c r="AU306" t="s">
        <v>443</v>
      </c>
      <c r="AV306">
        <v>0</v>
      </c>
      <c r="AW306">
        <v>2</v>
      </c>
      <c r="AX306">
        <v>16809029</v>
      </c>
      <c r="AY306">
        <v>1</v>
      </c>
      <c r="AZ306">
        <v>0</v>
      </c>
      <c r="BA306">
        <v>281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Y306*Source!I202</f>
        <v>2.8799999999999997E-3</v>
      </c>
      <c r="CY306">
        <f>AB306</f>
        <v>751.45</v>
      </c>
      <c r="CZ306">
        <f>AF306</f>
        <v>111.99</v>
      </c>
      <c r="DA306">
        <f>AJ306</f>
        <v>6.71</v>
      </c>
      <c r="DB306">
        <f>ROUND((ROUND(AT306*CZ306,2)*1.2),2)</f>
        <v>4.03</v>
      </c>
      <c r="DC306">
        <f>ROUND((ROUND(AT306*AG306,2)*1.2),2)</f>
        <v>0.49</v>
      </c>
    </row>
    <row r="307" spans="1:107" x14ac:dyDescent="0.2">
      <c r="A307">
        <f>ROW(Source!A202)</f>
        <v>202</v>
      </c>
      <c r="B307">
        <v>16808636</v>
      </c>
      <c r="C307">
        <v>16809017</v>
      </c>
      <c r="D307">
        <v>15249073</v>
      </c>
      <c r="E307">
        <v>1</v>
      </c>
      <c r="F307">
        <v>1</v>
      </c>
      <c r="G307">
        <v>1</v>
      </c>
      <c r="H307">
        <v>2</v>
      </c>
      <c r="I307" t="s">
        <v>724</v>
      </c>
      <c r="J307" t="s">
        <v>725</v>
      </c>
      <c r="K307" t="s">
        <v>726</v>
      </c>
      <c r="L307">
        <v>1368</v>
      </c>
      <c r="N307">
        <v>1011</v>
      </c>
      <c r="O307" t="s">
        <v>714</v>
      </c>
      <c r="P307" t="s">
        <v>714</v>
      </c>
      <c r="Q307">
        <v>1</v>
      </c>
      <c r="W307">
        <v>0</v>
      </c>
      <c r="X307">
        <v>1372534845</v>
      </c>
      <c r="Y307">
        <v>2.4E-2</v>
      </c>
      <c r="AA307">
        <v>0</v>
      </c>
      <c r="AB307">
        <v>440.91</v>
      </c>
      <c r="AC307">
        <v>11.6</v>
      </c>
      <c r="AD307">
        <v>0</v>
      </c>
      <c r="AE307">
        <v>0</v>
      </c>
      <c r="AF307">
        <v>65.709999999999994</v>
      </c>
      <c r="AG307">
        <v>11.6</v>
      </c>
      <c r="AH307">
        <v>0</v>
      </c>
      <c r="AI307">
        <v>1</v>
      </c>
      <c r="AJ307">
        <v>6.71</v>
      </c>
      <c r="AK307">
        <v>1</v>
      </c>
      <c r="AL307">
        <v>1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6</v>
      </c>
      <c r="AT307">
        <v>0.02</v>
      </c>
      <c r="AU307" t="s">
        <v>443</v>
      </c>
      <c r="AV307">
        <v>0</v>
      </c>
      <c r="AW307">
        <v>2</v>
      </c>
      <c r="AX307">
        <v>16809030</v>
      </c>
      <c r="AY307">
        <v>1</v>
      </c>
      <c r="AZ307">
        <v>0</v>
      </c>
      <c r="BA307">
        <v>282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Y307*Source!I202</f>
        <v>1.92E-3</v>
      </c>
      <c r="CY307">
        <f>AB307</f>
        <v>440.91</v>
      </c>
      <c r="CZ307">
        <f>AF307</f>
        <v>65.709999999999994</v>
      </c>
      <c r="DA307">
        <f>AJ307</f>
        <v>6.71</v>
      </c>
      <c r="DB307">
        <f>ROUND((ROUND(AT307*CZ307,2)*1.2),2)</f>
        <v>1.57</v>
      </c>
      <c r="DC307">
        <f>ROUND((ROUND(AT307*AG307,2)*1.2),2)</f>
        <v>0.28000000000000003</v>
      </c>
    </row>
    <row r="308" spans="1:107" x14ac:dyDescent="0.2">
      <c r="A308">
        <f>ROW(Source!A202)</f>
        <v>202</v>
      </c>
      <c r="B308">
        <v>16808636</v>
      </c>
      <c r="C308">
        <v>16809017</v>
      </c>
      <c r="D308">
        <v>15170074</v>
      </c>
      <c r="E308">
        <v>1</v>
      </c>
      <c r="F308">
        <v>1</v>
      </c>
      <c r="G308">
        <v>1</v>
      </c>
      <c r="H308">
        <v>3</v>
      </c>
      <c r="I308" t="s">
        <v>946</v>
      </c>
      <c r="J308" t="s">
        <v>947</v>
      </c>
      <c r="K308" t="s">
        <v>948</v>
      </c>
      <c r="L308">
        <v>1355</v>
      </c>
      <c r="N308">
        <v>1010</v>
      </c>
      <c r="O308" t="s">
        <v>326</v>
      </c>
      <c r="P308" t="s">
        <v>326</v>
      </c>
      <c r="Q308">
        <v>100</v>
      </c>
      <c r="W308">
        <v>0</v>
      </c>
      <c r="X308">
        <v>1794244060</v>
      </c>
      <c r="Y308">
        <v>1.02</v>
      </c>
      <c r="AA308">
        <v>577.05999999999995</v>
      </c>
      <c r="AB308">
        <v>0</v>
      </c>
      <c r="AC308">
        <v>0</v>
      </c>
      <c r="AD308">
        <v>0</v>
      </c>
      <c r="AE308">
        <v>86</v>
      </c>
      <c r="AF308">
        <v>0</v>
      </c>
      <c r="AG308">
        <v>0</v>
      </c>
      <c r="AH308">
        <v>0</v>
      </c>
      <c r="AI308">
        <v>6.71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6</v>
      </c>
      <c r="AT308">
        <v>1.02</v>
      </c>
      <c r="AU308" t="s">
        <v>6</v>
      </c>
      <c r="AV308">
        <v>0</v>
      </c>
      <c r="AW308">
        <v>2</v>
      </c>
      <c r="AX308">
        <v>16809031</v>
      </c>
      <c r="AY308">
        <v>1</v>
      </c>
      <c r="AZ308">
        <v>0</v>
      </c>
      <c r="BA308">
        <v>283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Y308*Source!I202</f>
        <v>8.1600000000000006E-2</v>
      </c>
      <c r="CY308">
        <f>AA308</f>
        <v>577.05999999999995</v>
      </c>
      <c r="CZ308">
        <f>AE308</f>
        <v>86</v>
      </c>
      <c r="DA308">
        <f>AI308</f>
        <v>6.71</v>
      </c>
      <c r="DB308">
        <f t="shared" ref="DB308:DB313" si="59">ROUND(ROUND(AT308*CZ308,2),2)</f>
        <v>87.72</v>
      </c>
      <c r="DC308">
        <f t="shared" ref="DC308:DC313" si="60">ROUND(ROUND(AT308*AG308,2),2)</f>
        <v>0</v>
      </c>
    </row>
    <row r="309" spans="1:107" x14ac:dyDescent="0.2">
      <c r="A309">
        <f>ROW(Source!A202)</f>
        <v>202</v>
      </c>
      <c r="B309">
        <v>16808636</v>
      </c>
      <c r="C309">
        <v>16809017</v>
      </c>
      <c r="D309">
        <v>15170434</v>
      </c>
      <c r="E309">
        <v>1</v>
      </c>
      <c r="F309">
        <v>1</v>
      </c>
      <c r="G309">
        <v>1</v>
      </c>
      <c r="H309">
        <v>3</v>
      </c>
      <c r="I309" t="s">
        <v>949</v>
      </c>
      <c r="J309" t="s">
        <v>950</v>
      </c>
      <c r="K309" t="s">
        <v>951</v>
      </c>
      <c r="L309">
        <v>1348</v>
      </c>
      <c r="N309">
        <v>1009</v>
      </c>
      <c r="O309" t="s">
        <v>104</v>
      </c>
      <c r="P309" t="s">
        <v>104</v>
      </c>
      <c r="Q309">
        <v>1000</v>
      </c>
      <c r="W309">
        <v>0</v>
      </c>
      <c r="X309">
        <v>797358079</v>
      </c>
      <c r="Y309">
        <v>1.6000000000000001E-4</v>
      </c>
      <c r="AA309">
        <v>199958</v>
      </c>
      <c r="AB309">
        <v>0</v>
      </c>
      <c r="AC309">
        <v>0</v>
      </c>
      <c r="AD309">
        <v>0</v>
      </c>
      <c r="AE309">
        <v>29800</v>
      </c>
      <c r="AF309">
        <v>0</v>
      </c>
      <c r="AG309">
        <v>0</v>
      </c>
      <c r="AH309">
        <v>0</v>
      </c>
      <c r="AI309">
        <v>6.71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6</v>
      </c>
      <c r="AT309">
        <v>1.6000000000000001E-4</v>
      </c>
      <c r="AU309" t="s">
        <v>6</v>
      </c>
      <c r="AV309">
        <v>0</v>
      </c>
      <c r="AW309">
        <v>2</v>
      </c>
      <c r="AX309">
        <v>16809032</v>
      </c>
      <c r="AY309">
        <v>1</v>
      </c>
      <c r="AZ309">
        <v>0</v>
      </c>
      <c r="BA309">
        <v>284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Y309*Source!I202</f>
        <v>1.2800000000000001E-5</v>
      </c>
      <c r="CY309">
        <f>AA309</f>
        <v>199958</v>
      </c>
      <c r="CZ309">
        <f>AE309</f>
        <v>29800</v>
      </c>
      <c r="DA309">
        <f>AI309</f>
        <v>6.71</v>
      </c>
      <c r="DB309">
        <f t="shared" si="59"/>
        <v>4.7699999999999996</v>
      </c>
      <c r="DC309">
        <f t="shared" si="60"/>
        <v>0</v>
      </c>
    </row>
    <row r="310" spans="1:107" x14ac:dyDescent="0.2">
      <c r="A310">
        <f>ROW(Source!A202)</f>
        <v>202</v>
      </c>
      <c r="B310">
        <v>16808636</v>
      </c>
      <c r="C310">
        <v>16809017</v>
      </c>
      <c r="D310">
        <v>15170438</v>
      </c>
      <c r="E310">
        <v>1</v>
      </c>
      <c r="F310">
        <v>1</v>
      </c>
      <c r="G310">
        <v>1</v>
      </c>
      <c r="H310">
        <v>3</v>
      </c>
      <c r="I310" t="s">
        <v>745</v>
      </c>
      <c r="J310" t="s">
        <v>746</v>
      </c>
      <c r="K310" t="s">
        <v>747</v>
      </c>
      <c r="L310">
        <v>1348</v>
      </c>
      <c r="N310">
        <v>1009</v>
      </c>
      <c r="O310" t="s">
        <v>104</v>
      </c>
      <c r="P310" t="s">
        <v>104</v>
      </c>
      <c r="Q310">
        <v>1000</v>
      </c>
      <c r="W310">
        <v>0</v>
      </c>
      <c r="X310">
        <v>-1755229539</v>
      </c>
      <c r="Y310">
        <v>2.9999999999999997E-4</v>
      </c>
      <c r="AA310">
        <v>83405.3</v>
      </c>
      <c r="AB310">
        <v>0</v>
      </c>
      <c r="AC310">
        <v>0</v>
      </c>
      <c r="AD310">
        <v>0</v>
      </c>
      <c r="AE310">
        <v>12430</v>
      </c>
      <c r="AF310">
        <v>0</v>
      </c>
      <c r="AG310">
        <v>0</v>
      </c>
      <c r="AH310">
        <v>0</v>
      </c>
      <c r="AI310">
        <v>6.71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6</v>
      </c>
      <c r="AT310">
        <v>2.9999999999999997E-4</v>
      </c>
      <c r="AU310" t="s">
        <v>6</v>
      </c>
      <c r="AV310">
        <v>0</v>
      </c>
      <c r="AW310">
        <v>2</v>
      </c>
      <c r="AX310">
        <v>16809033</v>
      </c>
      <c r="AY310">
        <v>1</v>
      </c>
      <c r="AZ310">
        <v>0</v>
      </c>
      <c r="BA310">
        <v>285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Y310*Source!I202</f>
        <v>2.3999999999999997E-5</v>
      </c>
      <c r="CY310">
        <f>AA310</f>
        <v>83405.3</v>
      </c>
      <c r="CZ310">
        <f>AE310</f>
        <v>12430</v>
      </c>
      <c r="DA310">
        <f>AI310</f>
        <v>6.71</v>
      </c>
      <c r="DB310">
        <f t="shared" si="59"/>
        <v>3.73</v>
      </c>
      <c r="DC310">
        <f t="shared" si="60"/>
        <v>0</v>
      </c>
    </row>
    <row r="311" spans="1:107" x14ac:dyDescent="0.2">
      <c r="A311">
        <f>ROW(Source!A202)</f>
        <v>202</v>
      </c>
      <c r="B311">
        <v>16808636</v>
      </c>
      <c r="C311">
        <v>16809017</v>
      </c>
      <c r="D311">
        <v>15220565</v>
      </c>
      <c r="E311">
        <v>1</v>
      </c>
      <c r="F311">
        <v>1</v>
      </c>
      <c r="G311">
        <v>1</v>
      </c>
      <c r="H311">
        <v>3</v>
      </c>
      <c r="I311" t="s">
        <v>510</v>
      </c>
      <c r="J311" t="s">
        <v>513</v>
      </c>
      <c r="K311" t="s">
        <v>511</v>
      </c>
      <c r="L311">
        <v>1358</v>
      </c>
      <c r="N311">
        <v>1010</v>
      </c>
      <c r="O311" t="s">
        <v>512</v>
      </c>
      <c r="P311" t="s">
        <v>512</v>
      </c>
      <c r="Q311">
        <v>10</v>
      </c>
      <c r="W311">
        <v>0</v>
      </c>
      <c r="X311">
        <v>668519206</v>
      </c>
      <c r="Y311">
        <v>10</v>
      </c>
      <c r="AA311">
        <v>488.49</v>
      </c>
      <c r="AB311">
        <v>0</v>
      </c>
      <c r="AC311">
        <v>0</v>
      </c>
      <c r="AD311">
        <v>0</v>
      </c>
      <c r="AE311">
        <v>72.8</v>
      </c>
      <c r="AF311">
        <v>0</v>
      </c>
      <c r="AG311">
        <v>0</v>
      </c>
      <c r="AH311">
        <v>0</v>
      </c>
      <c r="AI311">
        <v>6.71</v>
      </c>
      <c r="AJ311">
        <v>1</v>
      </c>
      <c r="AK311">
        <v>1</v>
      </c>
      <c r="AL311">
        <v>1</v>
      </c>
      <c r="AN311">
        <v>0</v>
      </c>
      <c r="AO311">
        <v>0</v>
      </c>
      <c r="AP311">
        <v>0</v>
      </c>
      <c r="AQ311">
        <v>0</v>
      </c>
      <c r="AR311">
        <v>0</v>
      </c>
      <c r="AS311" t="s">
        <v>6</v>
      </c>
      <c r="AT311">
        <v>10</v>
      </c>
      <c r="AU311" t="s">
        <v>6</v>
      </c>
      <c r="AV311">
        <v>0</v>
      </c>
      <c r="AW311">
        <v>1</v>
      </c>
      <c r="AX311">
        <v>-1</v>
      </c>
      <c r="AY311">
        <v>0</v>
      </c>
      <c r="AZ311">
        <v>0</v>
      </c>
      <c r="BA311" t="s">
        <v>6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Y311*Source!I202</f>
        <v>0.8</v>
      </c>
      <c r="CY311">
        <f>AA311</f>
        <v>488.49</v>
      </c>
      <c r="CZ311">
        <f>AE311</f>
        <v>72.8</v>
      </c>
      <c r="DA311">
        <f>AI311</f>
        <v>6.71</v>
      </c>
      <c r="DB311">
        <f t="shared" si="59"/>
        <v>728</v>
      </c>
      <c r="DC311">
        <f t="shared" si="60"/>
        <v>0</v>
      </c>
    </row>
    <row r="312" spans="1:107" x14ac:dyDescent="0.2">
      <c r="A312">
        <f>ROW(Source!A202)</f>
        <v>202</v>
      </c>
      <c r="B312">
        <v>16808636</v>
      </c>
      <c r="C312">
        <v>16809017</v>
      </c>
      <c r="D312">
        <v>15164559</v>
      </c>
      <c r="E312">
        <v>17</v>
      </c>
      <c r="F312">
        <v>1</v>
      </c>
      <c r="G312">
        <v>1</v>
      </c>
      <c r="H312">
        <v>3</v>
      </c>
      <c r="I312" t="s">
        <v>736</v>
      </c>
      <c r="J312" t="s">
        <v>6</v>
      </c>
      <c r="K312" t="s">
        <v>737</v>
      </c>
      <c r="L312">
        <v>1374</v>
      </c>
      <c r="N312">
        <v>1013</v>
      </c>
      <c r="O312" t="s">
        <v>738</v>
      </c>
      <c r="P312" t="s">
        <v>738</v>
      </c>
      <c r="Q312">
        <v>1</v>
      </c>
      <c r="W312">
        <v>0</v>
      </c>
      <c r="X312">
        <v>-1731369543</v>
      </c>
      <c r="Y312">
        <v>6.97</v>
      </c>
      <c r="AA312">
        <v>1</v>
      </c>
      <c r="AB312">
        <v>0</v>
      </c>
      <c r="AC312">
        <v>0</v>
      </c>
      <c r="AD312">
        <v>0</v>
      </c>
      <c r="AE312">
        <v>1</v>
      </c>
      <c r="AF312">
        <v>0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6</v>
      </c>
      <c r="AT312">
        <v>6.97</v>
      </c>
      <c r="AU312" t="s">
        <v>6</v>
      </c>
      <c r="AV312">
        <v>0</v>
      </c>
      <c r="AW312">
        <v>2</v>
      </c>
      <c r="AX312">
        <v>16809034</v>
      </c>
      <c r="AY312">
        <v>1</v>
      </c>
      <c r="AZ312">
        <v>0</v>
      </c>
      <c r="BA312">
        <v>286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Y312*Source!I202</f>
        <v>0.55759999999999998</v>
      </c>
      <c r="CY312">
        <f>AA312</f>
        <v>1</v>
      </c>
      <c r="CZ312">
        <f>AE312</f>
        <v>1</v>
      </c>
      <c r="DA312">
        <f>AI312</f>
        <v>1</v>
      </c>
      <c r="DB312">
        <f t="shared" si="59"/>
        <v>6.97</v>
      </c>
      <c r="DC312">
        <f t="shared" si="60"/>
        <v>0</v>
      </c>
    </row>
    <row r="313" spans="1:107" x14ac:dyDescent="0.2">
      <c r="A313">
        <f>ROW(Source!A204)</f>
        <v>204</v>
      </c>
      <c r="B313">
        <v>16808636</v>
      </c>
      <c r="C313">
        <v>16809037</v>
      </c>
      <c r="D313">
        <v>15430517</v>
      </c>
      <c r="E313">
        <v>1</v>
      </c>
      <c r="F313">
        <v>1</v>
      </c>
      <c r="G313">
        <v>1</v>
      </c>
      <c r="H313">
        <v>1</v>
      </c>
      <c r="I313" t="s">
        <v>717</v>
      </c>
      <c r="J313" t="s">
        <v>6</v>
      </c>
      <c r="K313" t="s">
        <v>718</v>
      </c>
      <c r="L313">
        <v>1191</v>
      </c>
      <c r="N313">
        <v>1013</v>
      </c>
      <c r="O313" t="s">
        <v>708</v>
      </c>
      <c r="P313" t="s">
        <v>708</v>
      </c>
      <c r="Q313">
        <v>1</v>
      </c>
      <c r="W313">
        <v>0</v>
      </c>
      <c r="X313">
        <v>735429535</v>
      </c>
      <c r="Y313">
        <v>119.7</v>
      </c>
      <c r="AA313">
        <v>0</v>
      </c>
      <c r="AB313">
        <v>0</v>
      </c>
      <c r="AC313">
        <v>0</v>
      </c>
      <c r="AD313">
        <v>52.34</v>
      </c>
      <c r="AE313">
        <v>0</v>
      </c>
      <c r="AF313">
        <v>0</v>
      </c>
      <c r="AG313">
        <v>0</v>
      </c>
      <c r="AH313">
        <v>7.8</v>
      </c>
      <c r="AI313">
        <v>1</v>
      </c>
      <c r="AJ313">
        <v>1</v>
      </c>
      <c r="AK313">
        <v>1</v>
      </c>
      <c r="AL313">
        <v>6.71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6</v>
      </c>
      <c r="AT313">
        <v>119.7</v>
      </c>
      <c r="AU313" t="s">
        <v>6</v>
      </c>
      <c r="AV313">
        <v>1</v>
      </c>
      <c r="AW313">
        <v>2</v>
      </c>
      <c r="AX313">
        <v>16809039</v>
      </c>
      <c r="AY313">
        <v>1</v>
      </c>
      <c r="AZ313">
        <v>0</v>
      </c>
      <c r="BA313">
        <v>287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Y313*Source!I204</f>
        <v>9.5760000000000005</v>
      </c>
      <c r="CY313">
        <f>AD313</f>
        <v>52.34</v>
      </c>
      <c r="CZ313">
        <f>AH313</f>
        <v>7.8</v>
      </c>
      <c r="DA313">
        <f>AL313</f>
        <v>6.71</v>
      </c>
      <c r="DB313">
        <f t="shared" si="59"/>
        <v>933.66</v>
      </c>
      <c r="DC313">
        <f t="shared" si="60"/>
        <v>0</v>
      </c>
    </row>
    <row r="314" spans="1:107" x14ac:dyDescent="0.2">
      <c r="A314">
        <f>ROW(Source!A205)</f>
        <v>205</v>
      </c>
      <c r="B314">
        <v>16808636</v>
      </c>
      <c r="C314">
        <v>16809042</v>
      </c>
      <c r="D314">
        <v>15430397</v>
      </c>
      <c r="E314">
        <v>1</v>
      </c>
      <c r="F314">
        <v>1</v>
      </c>
      <c r="G314">
        <v>1</v>
      </c>
      <c r="H314">
        <v>1</v>
      </c>
      <c r="I314" t="s">
        <v>927</v>
      </c>
      <c r="J314" t="s">
        <v>6</v>
      </c>
      <c r="K314" t="s">
        <v>928</v>
      </c>
      <c r="L314">
        <v>1191</v>
      </c>
      <c r="N314">
        <v>1013</v>
      </c>
      <c r="O314" t="s">
        <v>708</v>
      </c>
      <c r="P314" t="s">
        <v>708</v>
      </c>
      <c r="Q314">
        <v>1</v>
      </c>
      <c r="W314">
        <v>0</v>
      </c>
      <c r="X314">
        <v>-1081351934</v>
      </c>
      <c r="Y314">
        <v>22.847999999999999</v>
      </c>
      <c r="AA314">
        <v>0</v>
      </c>
      <c r="AB314">
        <v>0</v>
      </c>
      <c r="AC314">
        <v>0</v>
      </c>
      <c r="AD314">
        <v>63.07</v>
      </c>
      <c r="AE314">
        <v>0</v>
      </c>
      <c r="AF314">
        <v>0</v>
      </c>
      <c r="AG314">
        <v>0</v>
      </c>
      <c r="AH314">
        <v>9.4</v>
      </c>
      <c r="AI314">
        <v>1</v>
      </c>
      <c r="AJ314">
        <v>1</v>
      </c>
      <c r="AK314">
        <v>1</v>
      </c>
      <c r="AL314">
        <v>6.71</v>
      </c>
      <c r="AN314">
        <v>0</v>
      </c>
      <c r="AO314">
        <v>1</v>
      </c>
      <c r="AP314">
        <v>1</v>
      </c>
      <c r="AQ314">
        <v>0</v>
      </c>
      <c r="AR314">
        <v>0</v>
      </c>
      <c r="AS314" t="s">
        <v>6</v>
      </c>
      <c r="AT314">
        <v>19.04</v>
      </c>
      <c r="AU314" t="s">
        <v>443</v>
      </c>
      <c r="AV314">
        <v>1</v>
      </c>
      <c r="AW314">
        <v>2</v>
      </c>
      <c r="AX314">
        <v>16809052</v>
      </c>
      <c r="AY314">
        <v>1</v>
      </c>
      <c r="AZ314">
        <v>0</v>
      </c>
      <c r="BA314">
        <v>289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Y314*Source!I205</f>
        <v>0.54835199999999995</v>
      </c>
      <c r="CY314">
        <f>AD314</f>
        <v>63.07</v>
      </c>
      <c r="CZ314">
        <f>AH314</f>
        <v>9.4</v>
      </c>
      <c r="DA314">
        <f>AL314</f>
        <v>6.71</v>
      </c>
      <c r="DB314">
        <f>ROUND((ROUND(AT314*CZ314,2)*1.2),2)</f>
        <v>214.78</v>
      </c>
      <c r="DC314">
        <f>ROUND((ROUND(AT314*AG314,2)*1.2),2)</f>
        <v>0</v>
      </c>
    </row>
    <row r="315" spans="1:107" x14ac:dyDescent="0.2">
      <c r="A315">
        <f>ROW(Source!A205)</f>
        <v>205</v>
      </c>
      <c r="B315">
        <v>16808636</v>
      </c>
      <c r="C315">
        <v>16809042</v>
      </c>
      <c r="D315">
        <v>15430395</v>
      </c>
      <c r="E315">
        <v>1</v>
      </c>
      <c r="F315">
        <v>1</v>
      </c>
      <c r="G315">
        <v>1</v>
      </c>
      <c r="H315">
        <v>1</v>
      </c>
      <c r="I315" t="s">
        <v>709</v>
      </c>
      <c r="J315" t="s">
        <v>6</v>
      </c>
      <c r="K315" t="s">
        <v>710</v>
      </c>
      <c r="L315">
        <v>1191</v>
      </c>
      <c r="N315">
        <v>1013</v>
      </c>
      <c r="O315" t="s">
        <v>708</v>
      </c>
      <c r="P315" t="s">
        <v>708</v>
      </c>
      <c r="Q315">
        <v>1</v>
      </c>
      <c r="W315">
        <v>0</v>
      </c>
      <c r="X315">
        <v>-1417349443</v>
      </c>
      <c r="Y315">
        <v>0.18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6.71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6</v>
      </c>
      <c r="AT315">
        <v>0.18</v>
      </c>
      <c r="AU315" t="s">
        <v>6</v>
      </c>
      <c r="AV315">
        <v>2</v>
      </c>
      <c r="AW315">
        <v>2</v>
      </c>
      <c r="AX315">
        <v>16809053</v>
      </c>
      <c r="AY315">
        <v>1</v>
      </c>
      <c r="AZ315">
        <v>2048</v>
      </c>
      <c r="BA315">
        <v>290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Y315*Source!I205</f>
        <v>4.3200000000000001E-3</v>
      </c>
      <c r="CY315">
        <f>AD315</f>
        <v>0</v>
      </c>
      <c r="CZ315">
        <f>AH315</f>
        <v>0</v>
      </c>
      <c r="DA315">
        <f>AL315</f>
        <v>1</v>
      </c>
      <c r="DB315">
        <f>ROUND(ROUND(AT315*CZ315,2),2)</f>
        <v>0</v>
      </c>
      <c r="DC315">
        <f>ROUND(ROUND(AT315*AG315,2),2)</f>
        <v>0</v>
      </c>
    </row>
    <row r="316" spans="1:107" x14ac:dyDescent="0.2">
      <c r="A316">
        <f>ROW(Source!A205)</f>
        <v>205</v>
      </c>
      <c r="B316">
        <v>16808636</v>
      </c>
      <c r="C316">
        <v>16809042</v>
      </c>
      <c r="D316">
        <v>15247680</v>
      </c>
      <c r="E316">
        <v>1</v>
      </c>
      <c r="F316">
        <v>1</v>
      </c>
      <c r="G316">
        <v>1</v>
      </c>
      <c r="H316">
        <v>2</v>
      </c>
      <c r="I316" t="s">
        <v>721</v>
      </c>
      <c r="J316" t="s">
        <v>722</v>
      </c>
      <c r="K316" t="s">
        <v>723</v>
      </c>
      <c r="L316">
        <v>1368</v>
      </c>
      <c r="N316">
        <v>1011</v>
      </c>
      <c r="O316" t="s">
        <v>714</v>
      </c>
      <c r="P316" t="s">
        <v>714</v>
      </c>
      <c r="Q316">
        <v>1</v>
      </c>
      <c r="W316">
        <v>0</v>
      </c>
      <c r="X316">
        <v>-1718674368</v>
      </c>
      <c r="Y316">
        <v>0.108</v>
      </c>
      <c r="AA316">
        <v>0</v>
      </c>
      <c r="AB316">
        <v>751.45</v>
      </c>
      <c r="AC316">
        <v>13.5</v>
      </c>
      <c r="AD316">
        <v>0</v>
      </c>
      <c r="AE316">
        <v>0</v>
      </c>
      <c r="AF316">
        <v>111.99</v>
      </c>
      <c r="AG316">
        <v>13.5</v>
      </c>
      <c r="AH316">
        <v>0</v>
      </c>
      <c r="AI316">
        <v>1</v>
      </c>
      <c r="AJ316">
        <v>6.71</v>
      </c>
      <c r="AK316">
        <v>1</v>
      </c>
      <c r="AL316">
        <v>1</v>
      </c>
      <c r="AN316">
        <v>0</v>
      </c>
      <c r="AO316">
        <v>1</v>
      </c>
      <c r="AP316">
        <v>1</v>
      </c>
      <c r="AQ316">
        <v>0</v>
      </c>
      <c r="AR316">
        <v>0</v>
      </c>
      <c r="AS316" t="s">
        <v>6</v>
      </c>
      <c r="AT316">
        <v>0.09</v>
      </c>
      <c r="AU316" t="s">
        <v>443</v>
      </c>
      <c r="AV316">
        <v>0</v>
      </c>
      <c r="AW316">
        <v>2</v>
      </c>
      <c r="AX316">
        <v>16809054</v>
      </c>
      <c r="AY316">
        <v>1</v>
      </c>
      <c r="AZ316">
        <v>0</v>
      </c>
      <c r="BA316">
        <v>291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Y316*Source!I205</f>
        <v>2.5920000000000001E-3</v>
      </c>
      <c r="CY316">
        <f>AB316</f>
        <v>751.45</v>
      </c>
      <c r="CZ316">
        <f>AF316</f>
        <v>111.99</v>
      </c>
      <c r="DA316">
        <f>AJ316</f>
        <v>6.71</v>
      </c>
      <c r="DB316">
        <f>ROUND((ROUND(AT316*CZ316,2)*1.2),2)</f>
        <v>12.1</v>
      </c>
      <c r="DC316">
        <f>ROUND((ROUND(AT316*AG316,2)*1.2),2)</f>
        <v>1.46</v>
      </c>
    </row>
    <row r="317" spans="1:107" x14ac:dyDescent="0.2">
      <c r="A317">
        <f>ROW(Source!A205)</f>
        <v>205</v>
      </c>
      <c r="B317">
        <v>16808636</v>
      </c>
      <c r="C317">
        <v>16809042</v>
      </c>
      <c r="D317">
        <v>15249073</v>
      </c>
      <c r="E317">
        <v>1</v>
      </c>
      <c r="F317">
        <v>1</v>
      </c>
      <c r="G317">
        <v>1</v>
      </c>
      <c r="H317">
        <v>2</v>
      </c>
      <c r="I317" t="s">
        <v>724</v>
      </c>
      <c r="J317" t="s">
        <v>725</v>
      </c>
      <c r="K317" t="s">
        <v>726</v>
      </c>
      <c r="L317">
        <v>1368</v>
      </c>
      <c r="N317">
        <v>1011</v>
      </c>
      <c r="O317" t="s">
        <v>714</v>
      </c>
      <c r="P317" t="s">
        <v>714</v>
      </c>
      <c r="Q317">
        <v>1</v>
      </c>
      <c r="W317">
        <v>0</v>
      </c>
      <c r="X317">
        <v>1372534845</v>
      </c>
      <c r="Y317">
        <v>0.108</v>
      </c>
      <c r="AA317">
        <v>0</v>
      </c>
      <c r="AB317">
        <v>440.91</v>
      </c>
      <c r="AC317">
        <v>11.6</v>
      </c>
      <c r="AD317">
        <v>0</v>
      </c>
      <c r="AE317">
        <v>0</v>
      </c>
      <c r="AF317">
        <v>65.709999999999994</v>
      </c>
      <c r="AG317">
        <v>11.6</v>
      </c>
      <c r="AH317">
        <v>0</v>
      </c>
      <c r="AI317">
        <v>1</v>
      </c>
      <c r="AJ317">
        <v>6.71</v>
      </c>
      <c r="AK317">
        <v>1</v>
      </c>
      <c r="AL317">
        <v>1</v>
      </c>
      <c r="AN317">
        <v>0</v>
      </c>
      <c r="AO317">
        <v>1</v>
      </c>
      <c r="AP317">
        <v>1</v>
      </c>
      <c r="AQ317">
        <v>0</v>
      </c>
      <c r="AR317">
        <v>0</v>
      </c>
      <c r="AS317" t="s">
        <v>6</v>
      </c>
      <c r="AT317">
        <v>0.09</v>
      </c>
      <c r="AU317" t="s">
        <v>443</v>
      </c>
      <c r="AV317">
        <v>0</v>
      </c>
      <c r="AW317">
        <v>2</v>
      </c>
      <c r="AX317">
        <v>16809055</v>
      </c>
      <c r="AY317">
        <v>1</v>
      </c>
      <c r="AZ317">
        <v>0</v>
      </c>
      <c r="BA317">
        <v>292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Y317*Source!I205</f>
        <v>2.5920000000000001E-3</v>
      </c>
      <c r="CY317">
        <f>AB317</f>
        <v>440.91</v>
      </c>
      <c r="CZ317">
        <f>AF317</f>
        <v>65.709999999999994</v>
      </c>
      <c r="DA317">
        <f>AJ317</f>
        <v>6.71</v>
      </c>
      <c r="DB317">
        <f>ROUND((ROUND(AT317*CZ317,2)*1.2),2)</f>
        <v>7.09</v>
      </c>
      <c r="DC317">
        <f>ROUND((ROUND(AT317*AG317,2)*1.2),2)</f>
        <v>1.25</v>
      </c>
    </row>
    <row r="318" spans="1:107" x14ac:dyDescent="0.2">
      <c r="A318">
        <f>ROW(Source!A205)</f>
        <v>205</v>
      </c>
      <c r="B318">
        <v>16808636</v>
      </c>
      <c r="C318">
        <v>16809042</v>
      </c>
      <c r="D318">
        <v>15249377</v>
      </c>
      <c r="E318">
        <v>1</v>
      </c>
      <c r="F318">
        <v>1</v>
      </c>
      <c r="G318">
        <v>1</v>
      </c>
      <c r="H318">
        <v>2</v>
      </c>
      <c r="I318" t="s">
        <v>952</v>
      </c>
      <c r="J318" t="s">
        <v>953</v>
      </c>
      <c r="K318" t="s">
        <v>954</v>
      </c>
      <c r="L318">
        <v>1368</v>
      </c>
      <c r="N318">
        <v>1011</v>
      </c>
      <c r="O318" t="s">
        <v>714</v>
      </c>
      <c r="P318" t="s">
        <v>714</v>
      </c>
      <c r="Q318">
        <v>1</v>
      </c>
      <c r="W318">
        <v>0</v>
      </c>
      <c r="X318">
        <v>-353815937</v>
      </c>
      <c r="Y318">
        <v>2.5920000000000001</v>
      </c>
      <c r="AA318">
        <v>0</v>
      </c>
      <c r="AB318">
        <v>54.35</v>
      </c>
      <c r="AC318">
        <v>0</v>
      </c>
      <c r="AD318">
        <v>0</v>
      </c>
      <c r="AE318">
        <v>0</v>
      </c>
      <c r="AF318">
        <v>8.1</v>
      </c>
      <c r="AG318">
        <v>0</v>
      </c>
      <c r="AH318">
        <v>0</v>
      </c>
      <c r="AI318">
        <v>1</v>
      </c>
      <c r="AJ318">
        <v>6.71</v>
      </c>
      <c r="AK318">
        <v>1</v>
      </c>
      <c r="AL318">
        <v>1</v>
      </c>
      <c r="AN318">
        <v>0</v>
      </c>
      <c r="AO318">
        <v>1</v>
      </c>
      <c r="AP318">
        <v>1</v>
      </c>
      <c r="AQ318">
        <v>0</v>
      </c>
      <c r="AR318">
        <v>0</v>
      </c>
      <c r="AS318" t="s">
        <v>6</v>
      </c>
      <c r="AT318">
        <v>2.16</v>
      </c>
      <c r="AU318" t="s">
        <v>443</v>
      </c>
      <c r="AV318">
        <v>0</v>
      </c>
      <c r="AW318">
        <v>2</v>
      </c>
      <c r="AX318">
        <v>16809056</v>
      </c>
      <c r="AY318">
        <v>1</v>
      </c>
      <c r="AZ318">
        <v>0</v>
      </c>
      <c r="BA318">
        <v>293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Y318*Source!I205</f>
        <v>6.2208000000000006E-2</v>
      </c>
      <c r="CY318">
        <f>AB318</f>
        <v>54.35</v>
      </c>
      <c r="CZ318">
        <f>AF318</f>
        <v>8.1</v>
      </c>
      <c r="DA318">
        <f>AJ318</f>
        <v>6.71</v>
      </c>
      <c r="DB318">
        <f>ROUND((ROUND(AT318*CZ318,2)*1.2),2)</f>
        <v>21</v>
      </c>
      <c r="DC318">
        <f>ROUND((ROUND(AT318*AG318,2)*1.2),2)</f>
        <v>0</v>
      </c>
    </row>
    <row r="319" spans="1:107" x14ac:dyDescent="0.2">
      <c r="A319">
        <f>ROW(Source!A205)</f>
        <v>205</v>
      </c>
      <c r="B319">
        <v>16808636</v>
      </c>
      <c r="C319">
        <v>16809042</v>
      </c>
      <c r="D319">
        <v>15168752</v>
      </c>
      <c r="E319">
        <v>1</v>
      </c>
      <c r="F319">
        <v>1</v>
      </c>
      <c r="G319">
        <v>1</v>
      </c>
      <c r="H319">
        <v>3</v>
      </c>
      <c r="I319" t="s">
        <v>955</v>
      </c>
      <c r="J319" t="s">
        <v>956</v>
      </c>
      <c r="K319" t="s">
        <v>957</v>
      </c>
      <c r="L319">
        <v>1346</v>
      </c>
      <c r="N319">
        <v>1009</v>
      </c>
      <c r="O319" t="s">
        <v>300</v>
      </c>
      <c r="P319" t="s">
        <v>300</v>
      </c>
      <c r="Q319">
        <v>1</v>
      </c>
      <c r="W319">
        <v>0</v>
      </c>
      <c r="X319">
        <v>586013393</v>
      </c>
      <c r="Y319">
        <v>0.96</v>
      </c>
      <c r="AA319">
        <v>70.92</v>
      </c>
      <c r="AB319">
        <v>0</v>
      </c>
      <c r="AC319">
        <v>0</v>
      </c>
      <c r="AD319">
        <v>0</v>
      </c>
      <c r="AE319">
        <v>10.57</v>
      </c>
      <c r="AF319">
        <v>0</v>
      </c>
      <c r="AG319">
        <v>0</v>
      </c>
      <c r="AH319">
        <v>0</v>
      </c>
      <c r="AI319">
        <v>6.71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6</v>
      </c>
      <c r="AT319">
        <v>0.96</v>
      </c>
      <c r="AU319" t="s">
        <v>6</v>
      </c>
      <c r="AV319">
        <v>0</v>
      </c>
      <c r="AW319">
        <v>2</v>
      </c>
      <c r="AX319">
        <v>16809057</v>
      </c>
      <c r="AY319">
        <v>1</v>
      </c>
      <c r="AZ319">
        <v>0</v>
      </c>
      <c r="BA319">
        <v>294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Y319*Source!I205</f>
        <v>2.3039999999999998E-2</v>
      </c>
      <c r="CY319">
        <f>AA319</f>
        <v>70.92</v>
      </c>
      <c r="CZ319">
        <f>AE319</f>
        <v>10.57</v>
      </c>
      <c r="DA319">
        <f>AI319</f>
        <v>6.71</v>
      </c>
      <c r="DB319">
        <f>ROUND(ROUND(AT319*CZ319,2),2)</f>
        <v>10.15</v>
      </c>
      <c r="DC319">
        <f>ROUND(ROUND(AT319*AG319,2),2)</f>
        <v>0</v>
      </c>
    </row>
    <row r="320" spans="1:107" x14ac:dyDescent="0.2">
      <c r="A320">
        <f>ROW(Source!A205)</f>
        <v>205</v>
      </c>
      <c r="B320">
        <v>16808636</v>
      </c>
      <c r="C320">
        <v>16809042</v>
      </c>
      <c r="D320">
        <v>15202442</v>
      </c>
      <c r="E320">
        <v>1</v>
      </c>
      <c r="F320">
        <v>1</v>
      </c>
      <c r="G320">
        <v>1</v>
      </c>
      <c r="H320">
        <v>3</v>
      </c>
      <c r="I320" t="s">
        <v>958</v>
      </c>
      <c r="J320" t="s">
        <v>959</v>
      </c>
      <c r="K320" t="s">
        <v>960</v>
      </c>
      <c r="L320">
        <v>1346</v>
      </c>
      <c r="N320">
        <v>1009</v>
      </c>
      <c r="O320" t="s">
        <v>300</v>
      </c>
      <c r="P320" t="s">
        <v>300</v>
      </c>
      <c r="Q320">
        <v>1</v>
      </c>
      <c r="W320">
        <v>0</v>
      </c>
      <c r="X320">
        <v>505519491</v>
      </c>
      <c r="Y320">
        <v>0.2</v>
      </c>
      <c r="AA320">
        <v>173.12</v>
      </c>
      <c r="AB320">
        <v>0</v>
      </c>
      <c r="AC320">
        <v>0</v>
      </c>
      <c r="AD320">
        <v>0</v>
      </c>
      <c r="AE320">
        <v>25.8</v>
      </c>
      <c r="AF320">
        <v>0</v>
      </c>
      <c r="AG320">
        <v>0</v>
      </c>
      <c r="AH320">
        <v>0</v>
      </c>
      <c r="AI320">
        <v>6.71</v>
      </c>
      <c r="AJ320">
        <v>1</v>
      </c>
      <c r="AK320">
        <v>1</v>
      </c>
      <c r="AL320">
        <v>1</v>
      </c>
      <c r="AN320">
        <v>0</v>
      </c>
      <c r="AO320">
        <v>1</v>
      </c>
      <c r="AP320">
        <v>0</v>
      </c>
      <c r="AQ320">
        <v>0</v>
      </c>
      <c r="AR320">
        <v>0</v>
      </c>
      <c r="AS320" t="s">
        <v>6</v>
      </c>
      <c r="AT320">
        <v>0.2</v>
      </c>
      <c r="AU320" t="s">
        <v>6</v>
      </c>
      <c r="AV320">
        <v>0</v>
      </c>
      <c r="AW320">
        <v>2</v>
      </c>
      <c r="AX320">
        <v>16809058</v>
      </c>
      <c r="AY320">
        <v>1</v>
      </c>
      <c r="AZ320">
        <v>0</v>
      </c>
      <c r="BA320">
        <v>295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Y320*Source!I205</f>
        <v>4.8000000000000004E-3</v>
      </c>
      <c r="CY320">
        <f>AA320</f>
        <v>173.12</v>
      </c>
      <c r="CZ320">
        <f>AE320</f>
        <v>25.8</v>
      </c>
      <c r="DA320">
        <f>AI320</f>
        <v>6.71</v>
      </c>
      <c r="DB320">
        <f>ROUND(ROUND(AT320*CZ320,2),2)</f>
        <v>5.16</v>
      </c>
      <c r="DC320">
        <f>ROUND(ROUND(AT320*AG320,2),2)</f>
        <v>0</v>
      </c>
    </row>
    <row r="321" spans="1:107" x14ac:dyDescent="0.2">
      <c r="A321">
        <f>ROW(Source!A205)</f>
        <v>205</v>
      </c>
      <c r="B321">
        <v>16808636</v>
      </c>
      <c r="C321">
        <v>16809042</v>
      </c>
      <c r="D321">
        <v>15233367</v>
      </c>
      <c r="E321">
        <v>1</v>
      </c>
      <c r="F321">
        <v>1</v>
      </c>
      <c r="G321">
        <v>1</v>
      </c>
      <c r="H321">
        <v>3</v>
      </c>
      <c r="I321" t="s">
        <v>526</v>
      </c>
      <c r="J321" t="s">
        <v>528</v>
      </c>
      <c r="K321" t="s">
        <v>527</v>
      </c>
      <c r="L321">
        <v>1302</v>
      </c>
      <c r="N321">
        <v>1003</v>
      </c>
      <c r="O321" t="s">
        <v>454</v>
      </c>
      <c r="P321" t="s">
        <v>454</v>
      </c>
      <c r="Q321">
        <v>10</v>
      </c>
      <c r="W321">
        <v>0</v>
      </c>
      <c r="X321">
        <v>77186882</v>
      </c>
      <c r="Y321">
        <v>10</v>
      </c>
      <c r="AA321">
        <v>582.16</v>
      </c>
      <c r="AB321">
        <v>0</v>
      </c>
      <c r="AC321">
        <v>0</v>
      </c>
      <c r="AD321">
        <v>0</v>
      </c>
      <c r="AE321">
        <v>86.76</v>
      </c>
      <c r="AF321">
        <v>0</v>
      </c>
      <c r="AG321">
        <v>0</v>
      </c>
      <c r="AH321">
        <v>0</v>
      </c>
      <c r="AI321">
        <v>6.71</v>
      </c>
      <c r="AJ321">
        <v>1</v>
      </c>
      <c r="AK321">
        <v>1</v>
      </c>
      <c r="AL321">
        <v>1</v>
      </c>
      <c r="AN321">
        <v>0</v>
      </c>
      <c r="AO321">
        <v>0</v>
      </c>
      <c r="AP321">
        <v>0</v>
      </c>
      <c r="AQ321">
        <v>0</v>
      </c>
      <c r="AR321">
        <v>0</v>
      </c>
      <c r="AS321" t="s">
        <v>6</v>
      </c>
      <c r="AT321">
        <v>10</v>
      </c>
      <c r="AU321" t="s">
        <v>6</v>
      </c>
      <c r="AV321">
        <v>0</v>
      </c>
      <c r="AW321">
        <v>1</v>
      </c>
      <c r="AX321">
        <v>-1</v>
      </c>
      <c r="AY321">
        <v>0</v>
      </c>
      <c r="AZ321">
        <v>0</v>
      </c>
      <c r="BA321" t="s">
        <v>6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Y321*Source!I205</f>
        <v>0.24</v>
      </c>
      <c r="CY321">
        <f>AA321</f>
        <v>582.16</v>
      </c>
      <c r="CZ321">
        <f>AE321</f>
        <v>86.76</v>
      </c>
      <c r="DA321">
        <f>AI321</f>
        <v>6.71</v>
      </c>
      <c r="DB321">
        <f>ROUND(ROUND(AT321*CZ321,2),2)</f>
        <v>867.6</v>
      </c>
      <c r="DC321">
        <f>ROUND(ROUND(AT321*AG321,2),2)</f>
        <v>0</v>
      </c>
    </row>
    <row r="322" spans="1:107" x14ac:dyDescent="0.2">
      <c r="A322">
        <f>ROW(Source!A205)</f>
        <v>205</v>
      </c>
      <c r="B322">
        <v>16808636</v>
      </c>
      <c r="C322">
        <v>16809042</v>
      </c>
      <c r="D322">
        <v>15164559</v>
      </c>
      <c r="E322">
        <v>17</v>
      </c>
      <c r="F322">
        <v>1</v>
      </c>
      <c r="G322">
        <v>1</v>
      </c>
      <c r="H322">
        <v>3</v>
      </c>
      <c r="I322" t="s">
        <v>736</v>
      </c>
      <c r="J322" t="s">
        <v>6</v>
      </c>
      <c r="K322" t="s">
        <v>737</v>
      </c>
      <c r="L322">
        <v>1374</v>
      </c>
      <c r="N322">
        <v>1013</v>
      </c>
      <c r="O322" t="s">
        <v>738</v>
      </c>
      <c r="P322" t="s">
        <v>738</v>
      </c>
      <c r="Q322">
        <v>1</v>
      </c>
      <c r="W322">
        <v>0</v>
      </c>
      <c r="X322">
        <v>-1731369543</v>
      </c>
      <c r="Y322">
        <v>3.58</v>
      </c>
      <c r="AA322">
        <v>1</v>
      </c>
      <c r="AB322">
        <v>0</v>
      </c>
      <c r="AC322">
        <v>0</v>
      </c>
      <c r="AD322">
        <v>0</v>
      </c>
      <c r="AE322">
        <v>1</v>
      </c>
      <c r="AF322">
        <v>0</v>
      </c>
      <c r="AG322">
        <v>0</v>
      </c>
      <c r="AH322">
        <v>0</v>
      </c>
      <c r="AI322">
        <v>1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6</v>
      </c>
      <c r="AT322">
        <v>3.58</v>
      </c>
      <c r="AU322" t="s">
        <v>6</v>
      </c>
      <c r="AV322">
        <v>0</v>
      </c>
      <c r="AW322">
        <v>2</v>
      </c>
      <c r="AX322">
        <v>16809059</v>
      </c>
      <c r="AY322">
        <v>1</v>
      </c>
      <c r="AZ322">
        <v>0</v>
      </c>
      <c r="BA322">
        <v>296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Y322*Source!I205</f>
        <v>8.592000000000001E-2</v>
      </c>
      <c r="CY322">
        <f>AA322</f>
        <v>1</v>
      </c>
      <c r="CZ322">
        <f>AE322</f>
        <v>1</v>
      </c>
      <c r="DA322">
        <f>AI322</f>
        <v>1</v>
      </c>
      <c r="DB322">
        <f>ROUND(ROUND(AT322*CZ322,2),2)</f>
        <v>3.58</v>
      </c>
      <c r="DC322">
        <f>ROUND(ROUND(AT322*AG322,2),2)</f>
        <v>0</v>
      </c>
    </row>
    <row r="323" spans="1:107" x14ac:dyDescent="0.2">
      <c r="A323">
        <f>ROW(Source!A207)</f>
        <v>207</v>
      </c>
      <c r="B323">
        <v>16808636</v>
      </c>
      <c r="C323">
        <v>16809062</v>
      </c>
      <c r="D323">
        <v>15446300</v>
      </c>
      <c r="E323">
        <v>1</v>
      </c>
      <c r="F323">
        <v>1</v>
      </c>
      <c r="G323">
        <v>1</v>
      </c>
      <c r="H323">
        <v>1</v>
      </c>
      <c r="I323" t="s">
        <v>944</v>
      </c>
      <c r="J323" t="s">
        <v>6</v>
      </c>
      <c r="K323" t="s">
        <v>945</v>
      </c>
      <c r="L323">
        <v>1191</v>
      </c>
      <c r="N323">
        <v>1013</v>
      </c>
      <c r="O323" t="s">
        <v>708</v>
      </c>
      <c r="P323" t="s">
        <v>708</v>
      </c>
      <c r="Q323">
        <v>1</v>
      </c>
      <c r="W323">
        <v>0</v>
      </c>
      <c r="X323">
        <v>912892513</v>
      </c>
      <c r="Y323">
        <v>177.6</v>
      </c>
      <c r="AA323">
        <v>0</v>
      </c>
      <c r="AB323">
        <v>0</v>
      </c>
      <c r="AC323">
        <v>0</v>
      </c>
      <c r="AD323">
        <v>66.56</v>
      </c>
      <c r="AE323">
        <v>0</v>
      </c>
      <c r="AF323">
        <v>0</v>
      </c>
      <c r="AG323">
        <v>0</v>
      </c>
      <c r="AH323">
        <v>9.92</v>
      </c>
      <c r="AI323">
        <v>1</v>
      </c>
      <c r="AJ323">
        <v>1</v>
      </c>
      <c r="AK323">
        <v>1</v>
      </c>
      <c r="AL323">
        <v>6.71</v>
      </c>
      <c r="AN323">
        <v>0</v>
      </c>
      <c r="AO323">
        <v>1</v>
      </c>
      <c r="AP323">
        <v>1</v>
      </c>
      <c r="AQ323">
        <v>0</v>
      </c>
      <c r="AR323">
        <v>0</v>
      </c>
      <c r="AS323" t="s">
        <v>6</v>
      </c>
      <c r="AT323">
        <v>148</v>
      </c>
      <c r="AU323" t="s">
        <v>443</v>
      </c>
      <c r="AV323">
        <v>1</v>
      </c>
      <c r="AW323">
        <v>2</v>
      </c>
      <c r="AX323">
        <v>16809070</v>
      </c>
      <c r="AY323">
        <v>1</v>
      </c>
      <c r="AZ323">
        <v>0</v>
      </c>
      <c r="BA323">
        <v>297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Y323*Source!I207</f>
        <v>85.24799999999999</v>
      </c>
      <c r="CY323">
        <f>AD323</f>
        <v>66.56</v>
      </c>
      <c r="CZ323">
        <f>AH323</f>
        <v>9.92</v>
      </c>
      <c r="DA323">
        <f>AL323</f>
        <v>6.71</v>
      </c>
      <c r="DB323">
        <f>ROUND((ROUND(AT323*CZ323,2)*1.2),2)</f>
        <v>1761.79</v>
      </c>
      <c r="DC323">
        <f>ROUND((ROUND(AT323*AG323,2)*1.2),2)</f>
        <v>0</v>
      </c>
    </row>
    <row r="324" spans="1:107" x14ac:dyDescent="0.2">
      <c r="A324">
        <f>ROW(Source!A207)</f>
        <v>207</v>
      </c>
      <c r="B324">
        <v>16808636</v>
      </c>
      <c r="C324">
        <v>16809062</v>
      </c>
      <c r="D324">
        <v>15430395</v>
      </c>
      <c r="E324">
        <v>1</v>
      </c>
      <c r="F324">
        <v>1</v>
      </c>
      <c r="G324">
        <v>1</v>
      </c>
      <c r="H324">
        <v>1</v>
      </c>
      <c r="I324" t="s">
        <v>709</v>
      </c>
      <c r="J324" t="s">
        <v>6</v>
      </c>
      <c r="K324" t="s">
        <v>710</v>
      </c>
      <c r="L324">
        <v>1191</v>
      </c>
      <c r="N324">
        <v>1013</v>
      </c>
      <c r="O324" t="s">
        <v>708</v>
      </c>
      <c r="P324" t="s">
        <v>708</v>
      </c>
      <c r="Q324">
        <v>1</v>
      </c>
      <c r="W324">
        <v>0</v>
      </c>
      <c r="X324">
        <v>-1417349443</v>
      </c>
      <c r="Y324">
        <v>0.6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1</v>
      </c>
      <c r="AJ324">
        <v>1</v>
      </c>
      <c r="AK324">
        <v>6.71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6</v>
      </c>
      <c r="AT324">
        <v>0.6</v>
      </c>
      <c r="AU324" t="s">
        <v>6</v>
      </c>
      <c r="AV324">
        <v>2</v>
      </c>
      <c r="AW324">
        <v>2</v>
      </c>
      <c r="AX324">
        <v>16809071</v>
      </c>
      <c r="AY324">
        <v>1</v>
      </c>
      <c r="AZ324">
        <v>2048</v>
      </c>
      <c r="BA324">
        <v>298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Y324*Source!I207</f>
        <v>0.28799999999999998</v>
      </c>
      <c r="CY324">
        <f>AD324</f>
        <v>0</v>
      </c>
      <c r="CZ324">
        <f>AH324</f>
        <v>0</v>
      </c>
      <c r="DA324">
        <f>AL324</f>
        <v>1</v>
      </c>
      <c r="DB324">
        <f>ROUND(ROUND(AT324*CZ324,2),2)</f>
        <v>0</v>
      </c>
      <c r="DC324">
        <f>ROUND(ROUND(AT324*AG324,2),2)</f>
        <v>0</v>
      </c>
    </row>
    <row r="325" spans="1:107" x14ac:dyDescent="0.2">
      <c r="A325">
        <f>ROW(Source!A207)</f>
        <v>207</v>
      </c>
      <c r="B325">
        <v>16808636</v>
      </c>
      <c r="C325">
        <v>16809062</v>
      </c>
      <c r="D325">
        <v>15247680</v>
      </c>
      <c r="E325">
        <v>1</v>
      </c>
      <c r="F325">
        <v>1</v>
      </c>
      <c r="G325">
        <v>1</v>
      </c>
      <c r="H325">
        <v>2</v>
      </c>
      <c r="I325" t="s">
        <v>721</v>
      </c>
      <c r="J325" t="s">
        <v>722</v>
      </c>
      <c r="K325" t="s">
        <v>723</v>
      </c>
      <c r="L325">
        <v>1368</v>
      </c>
      <c r="N325">
        <v>1011</v>
      </c>
      <c r="O325" t="s">
        <v>714</v>
      </c>
      <c r="P325" t="s">
        <v>714</v>
      </c>
      <c r="Q325">
        <v>1</v>
      </c>
      <c r="W325">
        <v>0</v>
      </c>
      <c r="X325">
        <v>-1718674368</v>
      </c>
      <c r="Y325">
        <v>0.36</v>
      </c>
      <c r="AA325">
        <v>0</v>
      </c>
      <c r="AB325">
        <v>751.45</v>
      </c>
      <c r="AC325">
        <v>13.5</v>
      </c>
      <c r="AD325">
        <v>0</v>
      </c>
      <c r="AE325">
        <v>0</v>
      </c>
      <c r="AF325">
        <v>111.99</v>
      </c>
      <c r="AG325">
        <v>13.5</v>
      </c>
      <c r="AH325">
        <v>0</v>
      </c>
      <c r="AI325">
        <v>1</v>
      </c>
      <c r="AJ325">
        <v>6.71</v>
      </c>
      <c r="AK325">
        <v>1</v>
      </c>
      <c r="AL325">
        <v>1</v>
      </c>
      <c r="AN325">
        <v>0</v>
      </c>
      <c r="AO325">
        <v>1</v>
      </c>
      <c r="AP325">
        <v>1</v>
      </c>
      <c r="AQ325">
        <v>0</v>
      </c>
      <c r="AR325">
        <v>0</v>
      </c>
      <c r="AS325" t="s">
        <v>6</v>
      </c>
      <c r="AT325">
        <v>0.3</v>
      </c>
      <c r="AU325" t="s">
        <v>443</v>
      </c>
      <c r="AV325">
        <v>0</v>
      </c>
      <c r="AW325">
        <v>2</v>
      </c>
      <c r="AX325">
        <v>16809072</v>
      </c>
      <c r="AY325">
        <v>1</v>
      </c>
      <c r="AZ325">
        <v>0</v>
      </c>
      <c r="BA325">
        <v>299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Y325*Source!I207</f>
        <v>0.17279999999999998</v>
      </c>
      <c r="CY325">
        <f>AB325</f>
        <v>751.45</v>
      </c>
      <c r="CZ325">
        <f>AF325</f>
        <v>111.99</v>
      </c>
      <c r="DA325">
        <f>AJ325</f>
        <v>6.71</v>
      </c>
      <c r="DB325">
        <f>ROUND((ROUND(AT325*CZ325,2)*1.2),2)</f>
        <v>40.32</v>
      </c>
      <c r="DC325">
        <f>ROUND((ROUND(AT325*AG325,2)*1.2),2)</f>
        <v>4.8600000000000003</v>
      </c>
    </row>
    <row r="326" spans="1:107" x14ac:dyDescent="0.2">
      <c r="A326">
        <f>ROW(Source!A207)</f>
        <v>207</v>
      </c>
      <c r="B326">
        <v>16808636</v>
      </c>
      <c r="C326">
        <v>16809062</v>
      </c>
      <c r="D326">
        <v>15249073</v>
      </c>
      <c r="E326">
        <v>1</v>
      </c>
      <c r="F326">
        <v>1</v>
      </c>
      <c r="G326">
        <v>1</v>
      </c>
      <c r="H326">
        <v>2</v>
      </c>
      <c r="I326" t="s">
        <v>724</v>
      </c>
      <c r="J326" t="s">
        <v>725</v>
      </c>
      <c r="K326" t="s">
        <v>726</v>
      </c>
      <c r="L326">
        <v>1368</v>
      </c>
      <c r="N326">
        <v>1011</v>
      </c>
      <c r="O326" t="s">
        <v>714</v>
      </c>
      <c r="P326" t="s">
        <v>714</v>
      </c>
      <c r="Q326">
        <v>1</v>
      </c>
      <c r="W326">
        <v>0</v>
      </c>
      <c r="X326">
        <v>1372534845</v>
      </c>
      <c r="Y326">
        <v>0.36</v>
      </c>
      <c r="AA326">
        <v>0</v>
      </c>
      <c r="AB326">
        <v>440.91</v>
      </c>
      <c r="AC326">
        <v>11.6</v>
      </c>
      <c r="AD326">
        <v>0</v>
      </c>
      <c r="AE326">
        <v>0</v>
      </c>
      <c r="AF326">
        <v>65.709999999999994</v>
      </c>
      <c r="AG326">
        <v>11.6</v>
      </c>
      <c r="AH326">
        <v>0</v>
      </c>
      <c r="AI326">
        <v>1</v>
      </c>
      <c r="AJ326">
        <v>6.71</v>
      </c>
      <c r="AK326">
        <v>1</v>
      </c>
      <c r="AL326">
        <v>1</v>
      </c>
      <c r="AN326">
        <v>0</v>
      </c>
      <c r="AO326">
        <v>1</v>
      </c>
      <c r="AP326">
        <v>1</v>
      </c>
      <c r="AQ326">
        <v>0</v>
      </c>
      <c r="AR326">
        <v>0</v>
      </c>
      <c r="AS326" t="s">
        <v>6</v>
      </c>
      <c r="AT326">
        <v>0.3</v>
      </c>
      <c r="AU326" t="s">
        <v>443</v>
      </c>
      <c r="AV326">
        <v>0</v>
      </c>
      <c r="AW326">
        <v>2</v>
      </c>
      <c r="AX326">
        <v>16809073</v>
      </c>
      <c r="AY326">
        <v>1</v>
      </c>
      <c r="AZ326">
        <v>0</v>
      </c>
      <c r="BA326">
        <v>300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Y326*Source!I207</f>
        <v>0.17279999999999998</v>
      </c>
      <c r="CY326">
        <f>AB326</f>
        <v>440.91</v>
      </c>
      <c r="CZ326">
        <f>AF326</f>
        <v>65.709999999999994</v>
      </c>
      <c r="DA326">
        <f>AJ326</f>
        <v>6.71</v>
      </c>
      <c r="DB326">
        <f>ROUND((ROUND(AT326*CZ326,2)*1.2),2)</f>
        <v>23.65</v>
      </c>
      <c r="DC326">
        <f>ROUND((ROUND(AT326*AG326,2)*1.2),2)</f>
        <v>4.18</v>
      </c>
    </row>
    <row r="327" spans="1:107" x14ac:dyDescent="0.2">
      <c r="A327">
        <f>ROW(Source!A207)</f>
        <v>207</v>
      </c>
      <c r="B327">
        <v>16808636</v>
      </c>
      <c r="C327">
        <v>16809062</v>
      </c>
      <c r="D327">
        <v>15171982</v>
      </c>
      <c r="E327">
        <v>1</v>
      </c>
      <c r="F327">
        <v>1</v>
      </c>
      <c r="G327">
        <v>1</v>
      </c>
      <c r="H327">
        <v>3</v>
      </c>
      <c r="I327" t="s">
        <v>756</v>
      </c>
      <c r="J327" t="s">
        <v>757</v>
      </c>
      <c r="K327" t="s">
        <v>758</v>
      </c>
      <c r="L327">
        <v>1348</v>
      </c>
      <c r="N327">
        <v>1009</v>
      </c>
      <c r="O327" t="s">
        <v>104</v>
      </c>
      <c r="P327" t="s">
        <v>104</v>
      </c>
      <c r="Q327">
        <v>1000</v>
      </c>
      <c r="W327">
        <v>0</v>
      </c>
      <c r="X327">
        <v>-1421715385</v>
      </c>
      <c r="Y327">
        <v>3.15E-3</v>
      </c>
      <c r="AA327">
        <v>4898.17</v>
      </c>
      <c r="AB327">
        <v>0</v>
      </c>
      <c r="AC327">
        <v>0</v>
      </c>
      <c r="AD327">
        <v>0</v>
      </c>
      <c r="AE327">
        <v>729.98</v>
      </c>
      <c r="AF327">
        <v>0</v>
      </c>
      <c r="AG327">
        <v>0</v>
      </c>
      <c r="AH327">
        <v>0</v>
      </c>
      <c r="AI327">
        <v>6.71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6</v>
      </c>
      <c r="AT327">
        <v>3.15E-3</v>
      </c>
      <c r="AU327" t="s">
        <v>6</v>
      </c>
      <c r="AV327">
        <v>0</v>
      </c>
      <c r="AW327">
        <v>2</v>
      </c>
      <c r="AX327">
        <v>16809074</v>
      </c>
      <c r="AY327">
        <v>1</v>
      </c>
      <c r="AZ327">
        <v>0</v>
      </c>
      <c r="BA327">
        <v>301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Y327*Source!I207</f>
        <v>1.5119999999999999E-3</v>
      </c>
      <c r="CY327">
        <f>AA327</f>
        <v>4898.17</v>
      </c>
      <c r="CZ327">
        <f>AE327</f>
        <v>729.98</v>
      </c>
      <c r="DA327">
        <f>AI327</f>
        <v>6.71</v>
      </c>
      <c r="DB327">
        <f>ROUND(ROUND(AT327*CZ327,2),2)</f>
        <v>2.2999999999999998</v>
      </c>
      <c r="DC327">
        <f>ROUND(ROUND(AT327*AG327,2),2)</f>
        <v>0</v>
      </c>
    </row>
    <row r="328" spans="1:107" x14ac:dyDescent="0.2">
      <c r="A328">
        <f>ROW(Source!A207)</f>
        <v>207</v>
      </c>
      <c r="B328">
        <v>16808636</v>
      </c>
      <c r="C328">
        <v>16809062</v>
      </c>
      <c r="D328">
        <v>15233312</v>
      </c>
      <c r="E328">
        <v>1</v>
      </c>
      <c r="F328">
        <v>1</v>
      </c>
      <c r="G328">
        <v>1</v>
      </c>
      <c r="H328">
        <v>3</v>
      </c>
      <c r="I328" t="s">
        <v>961</v>
      </c>
      <c r="J328" t="s">
        <v>962</v>
      </c>
      <c r="K328" t="s">
        <v>963</v>
      </c>
      <c r="L328">
        <v>1346</v>
      </c>
      <c r="N328">
        <v>1009</v>
      </c>
      <c r="O328" t="s">
        <v>300</v>
      </c>
      <c r="P328" t="s">
        <v>300</v>
      </c>
      <c r="Q328">
        <v>1</v>
      </c>
      <c r="W328">
        <v>0</v>
      </c>
      <c r="X328">
        <v>1584075688</v>
      </c>
      <c r="Y328">
        <v>3.09</v>
      </c>
      <c r="AA328">
        <v>239.55</v>
      </c>
      <c r="AB328">
        <v>0</v>
      </c>
      <c r="AC328">
        <v>0</v>
      </c>
      <c r="AD328">
        <v>0</v>
      </c>
      <c r="AE328">
        <v>35.700000000000003</v>
      </c>
      <c r="AF328">
        <v>0</v>
      </c>
      <c r="AG328">
        <v>0</v>
      </c>
      <c r="AH328">
        <v>0</v>
      </c>
      <c r="AI328">
        <v>6.71</v>
      </c>
      <c r="AJ328">
        <v>1</v>
      </c>
      <c r="AK328">
        <v>1</v>
      </c>
      <c r="AL328">
        <v>1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6</v>
      </c>
      <c r="AT328">
        <v>3.09</v>
      </c>
      <c r="AU328" t="s">
        <v>6</v>
      </c>
      <c r="AV328">
        <v>0</v>
      </c>
      <c r="AW328">
        <v>2</v>
      </c>
      <c r="AX328">
        <v>16809075</v>
      </c>
      <c r="AY328">
        <v>1</v>
      </c>
      <c r="AZ328">
        <v>0</v>
      </c>
      <c r="BA328">
        <v>302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Y328*Source!I207</f>
        <v>1.4831999999999999</v>
      </c>
      <c r="CY328">
        <f>AA328</f>
        <v>239.55</v>
      </c>
      <c r="CZ328">
        <f>AE328</f>
        <v>35.700000000000003</v>
      </c>
      <c r="DA328">
        <f>AI328</f>
        <v>6.71</v>
      </c>
      <c r="DB328">
        <f>ROUND(ROUND(AT328*CZ328,2),2)</f>
        <v>110.31</v>
      </c>
      <c r="DC328">
        <f>ROUND(ROUND(AT328*AG328,2),2)</f>
        <v>0</v>
      </c>
    </row>
    <row r="329" spans="1:107" x14ac:dyDescent="0.2">
      <c r="A329">
        <f>ROW(Source!A207)</f>
        <v>207</v>
      </c>
      <c r="B329">
        <v>16808636</v>
      </c>
      <c r="C329">
        <v>16809062</v>
      </c>
      <c r="D329">
        <v>15164559</v>
      </c>
      <c r="E329">
        <v>17</v>
      </c>
      <c r="F329">
        <v>1</v>
      </c>
      <c r="G329">
        <v>1</v>
      </c>
      <c r="H329">
        <v>3</v>
      </c>
      <c r="I329" t="s">
        <v>736</v>
      </c>
      <c r="J329" t="s">
        <v>6</v>
      </c>
      <c r="K329" t="s">
        <v>737</v>
      </c>
      <c r="L329">
        <v>1374</v>
      </c>
      <c r="N329">
        <v>1013</v>
      </c>
      <c r="O329" t="s">
        <v>738</v>
      </c>
      <c r="P329" t="s">
        <v>738</v>
      </c>
      <c r="Q329">
        <v>1</v>
      </c>
      <c r="W329">
        <v>0</v>
      </c>
      <c r="X329">
        <v>-1731369543</v>
      </c>
      <c r="Y329">
        <v>29.36</v>
      </c>
      <c r="AA329">
        <v>1</v>
      </c>
      <c r="AB329">
        <v>0</v>
      </c>
      <c r="AC329">
        <v>0</v>
      </c>
      <c r="AD329">
        <v>0</v>
      </c>
      <c r="AE329">
        <v>1</v>
      </c>
      <c r="AF329">
        <v>0</v>
      </c>
      <c r="AG329">
        <v>0</v>
      </c>
      <c r="AH329">
        <v>0</v>
      </c>
      <c r="AI329">
        <v>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6</v>
      </c>
      <c r="AT329">
        <v>29.36</v>
      </c>
      <c r="AU329" t="s">
        <v>6</v>
      </c>
      <c r="AV329">
        <v>0</v>
      </c>
      <c r="AW329">
        <v>2</v>
      </c>
      <c r="AX329">
        <v>16809076</v>
      </c>
      <c r="AY329">
        <v>1</v>
      </c>
      <c r="AZ329">
        <v>0</v>
      </c>
      <c r="BA329">
        <v>303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Y329*Source!I207</f>
        <v>14.092799999999999</v>
      </c>
      <c r="CY329">
        <f>AA329</f>
        <v>1</v>
      </c>
      <c r="CZ329">
        <f>AE329</f>
        <v>1</v>
      </c>
      <c r="DA329">
        <f>AI329</f>
        <v>1</v>
      </c>
      <c r="DB329">
        <f>ROUND(ROUND(AT329*CZ329,2),2)</f>
        <v>29.36</v>
      </c>
      <c r="DC329">
        <f>ROUND(ROUND(AT329*AG329,2),2)</f>
        <v>0</v>
      </c>
    </row>
    <row r="330" spans="1:107" x14ac:dyDescent="0.2">
      <c r="A330">
        <f>ROW(Source!A208)</f>
        <v>208</v>
      </c>
      <c r="B330">
        <v>16808636</v>
      </c>
      <c r="C330">
        <v>16809078</v>
      </c>
      <c r="D330">
        <v>15442878</v>
      </c>
      <c r="E330">
        <v>1</v>
      </c>
      <c r="F330">
        <v>1</v>
      </c>
      <c r="G330">
        <v>1</v>
      </c>
      <c r="H330">
        <v>1</v>
      </c>
      <c r="I330" t="s">
        <v>719</v>
      </c>
      <c r="J330" t="s">
        <v>6</v>
      </c>
      <c r="K330" t="s">
        <v>720</v>
      </c>
      <c r="L330">
        <v>1191</v>
      </c>
      <c r="N330">
        <v>1013</v>
      </c>
      <c r="O330" t="s">
        <v>708</v>
      </c>
      <c r="P330" t="s">
        <v>708</v>
      </c>
      <c r="Q330">
        <v>1</v>
      </c>
      <c r="W330">
        <v>0</v>
      </c>
      <c r="X330">
        <v>-362667798</v>
      </c>
      <c r="Y330">
        <v>1.08</v>
      </c>
      <c r="AA330">
        <v>0</v>
      </c>
      <c r="AB330">
        <v>0</v>
      </c>
      <c r="AC330">
        <v>0</v>
      </c>
      <c r="AD330">
        <v>70.459999999999994</v>
      </c>
      <c r="AE330">
        <v>0</v>
      </c>
      <c r="AF330">
        <v>0</v>
      </c>
      <c r="AG330">
        <v>0</v>
      </c>
      <c r="AH330">
        <v>10.5</v>
      </c>
      <c r="AI330">
        <v>1</v>
      </c>
      <c r="AJ330">
        <v>1</v>
      </c>
      <c r="AK330">
        <v>1</v>
      </c>
      <c r="AL330">
        <v>6.71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6</v>
      </c>
      <c r="AT330">
        <v>0.9</v>
      </c>
      <c r="AU330" t="s">
        <v>443</v>
      </c>
      <c r="AV330">
        <v>1</v>
      </c>
      <c r="AW330">
        <v>2</v>
      </c>
      <c r="AX330">
        <v>16809088</v>
      </c>
      <c r="AY330">
        <v>1</v>
      </c>
      <c r="AZ330">
        <v>0</v>
      </c>
      <c r="BA330">
        <v>304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Y330*Source!I208</f>
        <v>8.64</v>
      </c>
      <c r="CY330">
        <f>AD330</f>
        <v>70.459999999999994</v>
      </c>
      <c r="CZ330">
        <f>AH330</f>
        <v>10.5</v>
      </c>
      <c r="DA330">
        <f>AL330</f>
        <v>6.71</v>
      </c>
      <c r="DB330">
        <f>ROUND((ROUND(AT330*CZ330,2)*1.2),2)</f>
        <v>11.34</v>
      </c>
      <c r="DC330">
        <f>ROUND((ROUND(AT330*AG330,2)*1.2),2)</f>
        <v>0</v>
      </c>
    </row>
    <row r="331" spans="1:107" x14ac:dyDescent="0.2">
      <c r="A331">
        <f>ROW(Source!A208)</f>
        <v>208</v>
      </c>
      <c r="B331">
        <v>16808636</v>
      </c>
      <c r="C331">
        <v>16809078</v>
      </c>
      <c r="D331">
        <v>15430395</v>
      </c>
      <c r="E331">
        <v>1</v>
      </c>
      <c r="F331">
        <v>1</v>
      </c>
      <c r="G331">
        <v>1</v>
      </c>
      <c r="H331">
        <v>1</v>
      </c>
      <c r="I331" t="s">
        <v>709</v>
      </c>
      <c r="J331" t="s">
        <v>6</v>
      </c>
      <c r="K331" t="s">
        <v>710</v>
      </c>
      <c r="L331">
        <v>1191</v>
      </c>
      <c r="N331">
        <v>1013</v>
      </c>
      <c r="O331" t="s">
        <v>708</v>
      </c>
      <c r="P331" t="s">
        <v>708</v>
      </c>
      <c r="Q331">
        <v>1</v>
      </c>
      <c r="W331">
        <v>0</v>
      </c>
      <c r="X331">
        <v>-1417349443</v>
      </c>
      <c r="Y331">
        <v>0.2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1</v>
      </c>
      <c r="AJ331">
        <v>1</v>
      </c>
      <c r="AK331">
        <v>6.71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6</v>
      </c>
      <c r="AT331">
        <v>0.2</v>
      </c>
      <c r="AU331" t="s">
        <v>6</v>
      </c>
      <c r="AV331">
        <v>2</v>
      </c>
      <c r="AW331">
        <v>2</v>
      </c>
      <c r="AX331">
        <v>16809089</v>
      </c>
      <c r="AY331">
        <v>1</v>
      </c>
      <c r="AZ331">
        <v>2048</v>
      </c>
      <c r="BA331">
        <v>305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Y331*Source!I208</f>
        <v>1.6</v>
      </c>
      <c r="CY331">
        <f>AD331</f>
        <v>0</v>
      </c>
      <c r="CZ331">
        <f>AH331</f>
        <v>0</v>
      </c>
      <c r="DA331">
        <f>AL331</f>
        <v>1</v>
      </c>
      <c r="DB331">
        <f>ROUND(ROUND(AT331*CZ331,2),2)</f>
        <v>0</v>
      </c>
      <c r="DC331">
        <f>ROUND(ROUND(AT331*AG331,2),2)</f>
        <v>0</v>
      </c>
    </row>
    <row r="332" spans="1:107" x14ac:dyDescent="0.2">
      <c r="A332">
        <f>ROW(Source!A208)</f>
        <v>208</v>
      </c>
      <c r="B332">
        <v>16808636</v>
      </c>
      <c r="C332">
        <v>16809078</v>
      </c>
      <c r="D332">
        <v>15247680</v>
      </c>
      <c r="E332">
        <v>1</v>
      </c>
      <c r="F332">
        <v>1</v>
      </c>
      <c r="G332">
        <v>1</v>
      </c>
      <c r="H332">
        <v>2</v>
      </c>
      <c r="I332" t="s">
        <v>721</v>
      </c>
      <c r="J332" t="s">
        <v>722</v>
      </c>
      <c r="K332" t="s">
        <v>723</v>
      </c>
      <c r="L332">
        <v>1368</v>
      </c>
      <c r="N332">
        <v>1011</v>
      </c>
      <c r="O332" t="s">
        <v>714</v>
      </c>
      <c r="P332" t="s">
        <v>714</v>
      </c>
      <c r="Q332">
        <v>1</v>
      </c>
      <c r="W332">
        <v>0</v>
      </c>
      <c r="X332">
        <v>-1718674368</v>
      </c>
      <c r="Y332">
        <v>0.12</v>
      </c>
      <c r="AA332">
        <v>0</v>
      </c>
      <c r="AB332">
        <v>751.45</v>
      </c>
      <c r="AC332">
        <v>13.5</v>
      </c>
      <c r="AD332">
        <v>0</v>
      </c>
      <c r="AE332">
        <v>0</v>
      </c>
      <c r="AF332">
        <v>111.99</v>
      </c>
      <c r="AG332">
        <v>13.5</v>
      </c>
      <c r="AH332">
        <v>0</v>
      </c>
      <c r="AI332">
        <v>1</v>
      </c>
      <c r="AJ332">
        <v>6.71</v>
      </c>
      <c r="AK332">
        <v>1</v>
      </c>
      <c r="AL332">
        <v>1</v>
      </c>
      <c r="AN332">
        <v>0</v>
      </c>
      <c r="AO332">
        <v>1</v>
      </c>
      <c r="AP332">
        <v>1</v>
      </c>
      <c r="AQ332">
        <v>0</v>
      </c>
      <c r="AR332">
        <v>0</v>
      </c>
      <c r="AS332" t="s">
        <v>6</v>
      </c>
      <c r="AT332">
        <v>0.1</v>
      </c>
      <c r="AU332" t="s">
        <v>443</v>
      </c>
      <c r="AV332">
        <v>0</v>
      </c>
      <c r="AW332">
        <v>2</v>
      </c>
      <c r="AX332">
        <v>16809090</v>
      </c>
      <c r="AY332">
        <v>1</v>
      </c>
      <c r="AZ332">
        <v>0</v>
      </c>
      <c r="BA332">
        <v>306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Y332*Source!I208</f>
        <v>0.96</v>
      </c>
      <c r="CY332">
        <f>AB332</f>
        <v>751.45</v>
      </c>
      <c r="CZ332">
        <f>AF332</f>
        <v>111.99</v>
      </c>
      <c r="DA332">
        <f>AJ332</f>
        <v>6.71</v>
      </c>
      <c r="DB332">
        <f>ROUND((ROUND(AT332*CZ332,2)*1.2),2)</f>
        <v>13.44</v>
      </c>
      <c r="DC332">
        <f>ROUND((ROUND(AT332*AG332,2)*1.2),2)</f>
        <v>1.62</v>
      </c>
    </row>
    <row r="333" spans="1:107" x14ac:dyDescent="0.2">
      <c r="A333">
        <f>ROW(Source!A208)</f>
        <v>208</v>
      </c>
      <c r="B333">
        <v>16808636</v>
      </c>
      <c r="C333">
        <v>16809078</v>
      </c>
      <c r="D333">
        <v>15249073</v>
      </c>
      <c r="E333">
        <v>1</v>
      </c>
      <c r="F333">
        <v>1</v>
      </c>
      <c r="G333">
        <v>1</v>
      </c>
      <c r="H333">
        <v>2</v>
      </c>
      <c r="I333" t="s">
        <v>724</v>
      </c>
      <c r="J333" t="s">
        <v>725</v>
      </c>
      <c r="K333" t="s">
        <v>726</v>
      </c>
      <c r="L333">
        <v>1368</v>
      </c>
      <c r="N333">
        <v>1011</v>
      </c>
      <c r="O333" t="s">
        <v>714</v>
      </c>
      <c r="P333" t="s">
        <v>714</v>
      </c>
      <c r="Q333">
        <v>1</v>
      </c>
      <c r="W333">
        <v>0</v>
      </c>
      <c r="X333">
        <v>1372534845</v>
      </c>
      <c r="Y333">
        <v>0.12</v>
      </c>
      <c r="AA333">
        <v>0</v>
      </c>
      <c r="AB333">
        <v>440.91</v>
      </c>
      <c r="AC333">
        <v>11.6</v>
      </c>
      <c r="AD333">
        <v>0</v>
      </c>
      <c r="AE333">
        <v>0</v>
      </c>
      <c r="AF333">
        <v>65.709999999999994</v>
      </c>
      <c r="AG333">
        <v>11.6</v>
      </c>
      <c r="AH333">
        <v>0</v>
      </c>
      <c r="AI333">
        <v>1</v>
      </c>
      <c r="AJ333">
        <v>6.71</v>
      </c>
      <c r="AK333">
        <v>1</v>
      </c>
      <c r="AL333">
        <v>1</v>
      </c>
      <c r="AN333">
        <v>0</v>
      </c>
      <c r="AO333">
        <v>1</v>
      </c>
      <c r="AP333">
        <v>1</v>
      </c>
      <c r="AQ333">
        <v>0</v>
      </c>
      <c r="AR333">
        <v>0</v>
      </c>
      <c r="AS333" t="s">
        <v>6</v>
      </c>
      <c r="AT333">
        <v>0.1</v>
      </c>
      <c r="AU333" t="s">
        <v>443</v>
      </c>
      <c r="AV333">
        <v>0</v>
      </c>
      <c r="AW333">
        <v>2</v>
      </c>
      <c r="AX333">
        <v>16809091</v>
      </c>
      <c r="AY333">
        <v>1</v>
      </c>
      <c r="AZ333">
        <v>0</v>
      </c>
      <c r="BA333">
        <v>307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Y333*Source!I208</f>
        <v>0.96</v>
      </c>
      <c r="CY333">
        <f>AB333</f>
        <v>440.91</v>
      </c>
      <c r="CZ333">
        <f>AF333</f>
        <v>65.709999999999994</v>
      </c>
      <c r="DA333">
        <f>AJ333</f>
        <v>6.71</v>
      </c>
      <c r="DB333">
        <f>ROUND((ROUND(AT333*CZ333,2)*1.2),2)</f>
        <v>7.88</v>
      </c>
      <c r="DC333">
        <f>ROUND((ROUND(AT333*AG333,2)*1.2),2)</f>
        <v>1.39</v>
      </c>
    </row>
    <row r="334" spans="1:107" x14ac:dyDescent="0.2">
      <c r="A334">
        <f>ROW(Source!A208)</f>
        <v>208</v>
      </c>
      <c r="B334">
        <v>16808636</v>
      </c>
      <c r="C334">
        <v>16809078</v>
      </c>
      <c r="D334">
        <v>15167588</v>
      </c>
      <c r="E334">
        <v>1</v>
      </c>
      <c r="F334">
        <v>1</v>
      </c>
      <c r="G334">
        <v>1</v>
      </c>
      <c r="H334">
        <v>3</v>
      </c>
      <c r="I334" t="s">
        <v>727</v>
      </c>
      <c r="J334" t="s">
        <v>728</v>
      </c>
      <c r="K334" t="s">
        <v>729</v>
      </c>
      <c r="L334">
        <v>1346</v>
      </c>
      <c r="N334">
        <v>1009</v>
      </c>
      <c r="O334" t="s">
        <v>300</v>
      </c>
      <c r="P334" t="s">
        <v>300</v>
      </c>
      <c r="Q334">
        <v>1</v>
      </c>
      <c r="W334">
        <v>0</v>
      </c>
      <c r="X334">
        <v>-1088866022</v>
      </c>
      <c r="Y334">
        <v>0.01</v>
      </c>
      <c r="AA334">
        <v>203.98</v>
      </c>
      <c r="AB334">
        <v>0</v>
      </c>
      <c r="AC334">
        <v>0</v>
      </c>
      <c r="AD334">
        <v>0</v>
      </c>
      <c r="AE334">
        <v>30.4</v>
      </c>
      <c r="AF334">
        <v>0</v>
      </c>
      <c r="AG334">
        <v>0</v>
      </c>
      <c r="AH334">
        <v>0</v>
      </c>
      <c r="AI334">
        <v>6.71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6</v>
      </c>
      <c r="AT334">
        <v>0.01</v>
      </c>
      <c r="AU334" t="s">
        <v>6</v>
      </c>
      <c r="AV334">
        <v>0</v>
      </c>
      <c r="AW334">
        <v>2</v>
      </c>
      <c r="AX334">
        <v>16809092</v>
      </c>
      <c r="AY334">
        <v>1</v>
      </c>
      <c r="AZ334">
        <v>0</v>
      </c>
      <c r="BA334">
        <v>308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Y334*Source!I208</f>
        <v>0.08</v>
      </c>
      <c r="CY334">
        <f>AA334</f>
        <v>203.98</v>
      </c>
      <c r="CZ334">
        <f>AE334</f>
        <v>30.4</v>
      </c>
      <c r="DA334">
        <f>AI334</f>
        <v>6.71</v>
      </c>
      <c r="DB334">
        <f>ROUND(ROUND(AT334*CZ334,2),2)</f>
        <v>0.3</v>
      </c>
      <c r="DC334">
        <f>ROUND(ROUND(AT334*AG334,2),2)</f>
        <v>0</v>
      </c>
    </row>
    <row r="335" spans="1:107" x14ac:dyDescent="0.2">
      <c r="A335">
        <f>ROW(Source!A208)</f>
        <v>208</v>
      </c>
      <c r="B335">
        <v>16808636</v>
      </c>
      <c r="C335">
        <v>16809078</v>
      </c>
      <c r="D335">
        <v>15169942</v>
      </c>
      <c r="E335">
        <v>1</v>
      </c>
      <c r="F335">
        <v>1</v>
      </c>
      <c r="G335">
        <v>1</v>
      </c>
      <c r="H335">
        <v>3</v>
      </c>
      <c r="I335" t="s">
        <v>730</v>
      </c>
      <c r="J335" t="s">
        <v>731</v>
      </c>
      <c r="K335" t="s">
        <v>732</v>
      </c>
      <c r="L335">
        <v>1346</v>
      </c>
      <c r="N335">
        <v>1009</v>
      </c>
      <c r="O335" t="s">
        <v>300</v>
      </c>
      <c r="P335" t="s">
        <v>300</v>
      </c>
      <c r="Q335">
        <v>1</v>
      </c>
      <c r="W335">
        <v>0</v>
      </c>
      <c r="X335">
        <v>103900845</v>
      </c>
      <c r="Y335">
        <v>0.3</v>
      </c>
      <c r="AA335">
        <v>60.66</v>
      </c>
      <c r="AB335">
        <v>0</v>
      </c>
      <c r="AC335">
        <v>0</v>
      </c>
      <c r="AD335">
        <v>0</v>
      </c>
      <c r="AE335">
        <v>9.0399999999999991</v>
      </c>
      <c r="AF335">
        <v>0</v>
      </c>
      <c r="AG335">
        <v>0</v>
      </c>
      <c r="AH335">
        <v>0</v>
      </c>
      <c r="AI335">
        <v>6.71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6</v>
      </c>
      <c r="AT335">
        <v>0.3</v>
      </c>
      <c r="AU335" t="s">
        <v>6</v>
      </c>
      <c r="AV335">
        <v>0</v>
      </c>
      <c r="AW335">
        <v>2</v>
      </c>
      <c r="AX335">
        <v>16809093</v>
      </c>
      <c r="AY335">
        <v>1</v>
      </c>
      <c r="AZ335">
        <v>0</v>
      </c>
      <c r="BA335">
        <v>309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Y335*Source!I208</f>
        <v>2.4</v>
      </c>
      <c r="CY335">
        <f>AA335</f>
        <v>60.66</v>
      </c>
      <c r="CZ335">
        <f>AE335</f>
        <v>9.0399999999999991</v>
      </c>
      <c r="DA335">
        <f>AI335</f>
        <v>6.71</v>
      </c>
      <c r="DB335">
        <f>ROUND(ROUND(AT335*CZ335,2),2)</f>
        <v>2.71</v>
      </c>
      <c r="DC335">
        <f>ROUND(ROUND(AT335*AG335,2),2)</f>
        <v>0</v>
      </c>
    </row>
    <row r="336" spans="1:107" x14ac:dyDescent="0.2">
      <c r="A336">
        <f>ROW(Source!A208)</f>
        <v>208</v>
      </c>
      <c r="B336">
        <v>16808636</v>
      </c>
      <c r="C336">
        <v>16809078</v>
      </c>
      <c r="D336">
        <v>15191488</v>
      </c>
      <c r="E336">
        <v>1</v>
      </c>
      <c r="F336">
        <v>1</v>
      </c>
      <c r="G336">
        <v>1</v>
      </c>
      <c r="H336">
        <v>3</v>
      </c>
      <c r="I336" t="s">
        <v>733</v>
      </c>
      <c r="J336" t="s">
        <v>734</v>
      </c>
      <c r="K336" t="s">
        <v>735</v>
      </c>
      <c r="L336">
        <v>1348</v>
      </c>
      <c r="N336">
        <v>1009</v>
      </c>
      <c r="O336" t="s">
        <v>104</v>
      </c>
      <c r="P336" t="s">
        <v>104</v>
      </c>
      <c r="Q336">
        <v>1000</v>
      </c>
      <c r="W336">
        <v>0</v>
      </c>
      <c r="X336">
        <v>-1598896989</v>
      </c>
      <c r="Y336">
        <v>5.9999999999999995E-4</v>
      </c>
      <c r="AA336">
        <v>33550</v>
      </c>
      <c r="AB336">
        <v>0</v>
      </c>
      <c r="AC336">
        <v>0</v>
      </c>
      <c r="AD336">
        <v>0</v>
      </c>
      <c r="AE336">
        <v>5000</v>
      </c>
      <c r="AF336">
        <v>0</v>
      </c>
      <c r="AG336">
        <v>0</v>
      </c>
      <c r="AH336">
        <v>0</v>
      </c>
      <c r="AI336">
        <v>6.71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6</v>
      </c>
      <c r="AT336">
        <v>5.9999999999999995E-4</v>
      </c>
      <c r="AU336" t="s">
        <v>6</v>
      </c>
      <c r="AV336">
        <v>0</v>
      </c>
      <c r="AW336">
        <v>2</v>
      </c>
      <c r="AX336">
        <v>16809094</v>
      </c>
      <c r="AY336">
        <v>1</v>
      </c>
      <c r="AZ336">
        <v>0</v>
      </c>
      <c r="BA336">
        <v>310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Y336*Source!I208</f>
        <v>4.7999999999999996E-3</v>
      </c>
      <c r="CY336">
        <f>AA336</f>
        <v>33550</v>
      </c>
      <c r="CZ336">
        <f>AE336</f>
        <v>5000</v>
      </c>
      <c r="DA336">
        <f>AI336</f>
        <v>6.71</v>
      </c>
      <c r="DB336">
        <f>ROUND(ROUND(AT336*CZ336,2),2)</f>
        <v>3</v>
      </c>
      <c r="DC336">
        <f>ROUND(ROUND(AT336*AG336,2),2)</f>
        <v>0</v>
      </c>
    </row>
    <row r="337" spans="1:107" x14ac:dyDescent="0.2">
      <c r="A337">
        <f>ROW(Source!A208)</f>
        <v>208</v>
      </c>
      <c r="B337">
        <v>16808636</v>
      </c>
      <c r="C337">
        <v>16809078</v>
      </c>
      <c r="D337">
        <v>15225642</v>
      </c>
      <c r="E337">
        <v>1</v>
      </c>
      <c r="F337">
        <v>1</v>
      </c>
      <c r="G337">
        <v>1</v>
      </c>
      <c r="H337">
        <v>3</v>
      </c>
      <c r="I337" t="s">
        <v>537</v>
      </c>
      <c r="J337" t="s">
        <v>539</v>
      </c>
      <c r="K337" t="s">
        <v>538</v>
      </c>
      <c r="L337">
        <v>1354</v>
      </c>
      <c r="N337">
        <v>1010</v>
      </c>
      <c r="O337" t="s">
        <v>350</v>
      </c>
      <c r="P337" t="s">
        <v>350</v>
      </c>
      <c r="Q337">
        <v>1</v>
      </c>
      <c r="W337">
        <v>0</v>
      </c>
      <c r="X337">
        <v>-1814208585</v>
      </c>
      <c r="Y337">
        <v>1</v>
      </c>
      <c r="AA337">
        <v>619</v>
      </c>
      <c r="AB337">
        <v>0</v>
      </c>
      <c r="AC337">
        <v>0</v>
      </c>
      <c r="AD337">
        <v>0</v>
      </c>
      <c r="AE337">
        <v>92.25</v>
      </c>
      <c r="AF337">
        <v>0</v>
      </c>
      <c r="AG337">
        <v>0</v>
      </c>
      <c r="AH337">
        <v>0</v>
      </c>
      <c r="AI337">
        <v>6.71</v>
      </c>
      <c r="AJ337">
        <v>1</v>
      </c>
      <c r="AK337">
        <v>1</v>
      </c>
      <c r="AL337">
        <v>1</v>
      </c>
      <c r="AN337">
        <v>0</v>
      </c>
      <c r="AO337">
        <v>0</v>
      </c>
      <c r="AP337">
        <v>0</v>
      </c>
      <c r="AQ337">
        <v>0</v>
      </c>
      <c r="AR337">
        <v>0</v>
      </c>
      <c r="AS337" t="s">
        <v>6</v>
      </c>
      <c r="AT337">
        <v>1</v>
      </c>
      <c r="AU337" t="s">
        <v>6</v>
      </c>
      <c r="AV337">
        <v>0</v>
      </c>
      <c r="AW337">
        <v>1</v>
      </c>
      <c r="AX337">
        <v>-1</v>
      </c>
      <c r="AY337">
        <v>0</v>
      </c>
      <c r="AZ337">
        <v>0</v>
      </c>
      <c r="BA337" t="s">
        <v>6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Y337*Source!I208</f>
        <v>8</v>
      </c>
      <c r="CY337">
        <f>AA337</f>
        <v>619</v>
      </c>
      <c r="CZ337">
        <f>AE337</f>
        <v>92.25</v>
      </c>
      <c r="DA337">
        <f>AI337</f>
        <v>6.71</v>
      </c>
      <c r="DB337">
        <f>ROUND(ROUND(AT337*CZ337,2),2)</f>
        <v>92.25</v>
      </c>
      <c r="DC337">
        <f>ROUND(ROUND(AT337*AG337,2),2)</f>
        <v>0</v>
      </c>
    </row>
    <row r="338" spans="1:107" x14ac:dyDescent="0.2">
      <c r="A338">
        <f>ROW(Source!A208)</f>
        <v>208</v>
      </c>
      <c r="B338">
        <v>16808636</v>
      </c>
      <c r="C338">
        <v>16809078</v>
      </c>
      <c r="D338">
        <v>15164559</v>
      </c>
      <c r="E338">
        <v>17</v>
      </c>
      <c r="F338">
        <v>1</v>
      </c>
      <c r="G338">
        <v>1</v>
      </c>
      <c r="H338">
        <v>3</v>
      </c>
      <c r="I338" t="s">
        <v>736</v>
      </c>
      <c r="J338" t="s">
        <v>6</v>
      </c>
      <c r="K338" t="s">
        <v>737</v>
      </c>
      <c r="L338">
        <v>1374</v>
      </c>
      <c r="N338">
        <v>1013</v>
      </c>
      <c r="O338" t="s">
        <v>738</v>
      </c>
      <c r="P338" t="s">
        <v>738</v>
      </c>
      <c r="Q338">
        <v>1</v>
      </c>
      <c r="W338">
        <v>0</v>
      </c>
      <c r="X338">
        <v>-1731369543</v>
      </c>
      <c r="Y338">
        <v>0.19</v>
      </c>
      <c r="AA338">
        <v>1</v>
      </c>
      <c r="AB338">
        <v>0</v>
      </c>
      <c r="AC338">
        <v>0</v>
      </c>
      <c r="AD338">
        <v>0</v>
      </c>
      <c r="AE338">
        <v>1</v>
      </c>
      <c r="AF338">
        <v>0</v>
      </c>
      <c r="AG338">
        <v>0</v>
      </c>
      <c r="AH338">
        <v>0</v>
      </c>
      <c r="AI338">
        <v>1</v>
      </c>
      <c r="AJ338">
        <v>1</v>
      </c>
      <c r="AK338">
        <v>1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6</v>
      </c>
      <c r="AT338">
        <v>0.19</v>
      </c>
      <c r="AU338" t="s">
        <v>6</v>
      </c>
      <c r="AV338">
        <v>0</v>
      </c>
      <c r="AW338">
        <v>2</v>
      </c>
      <c r="AX338">
        <v>16809095</v>
      </c>
      <c r="AY338">
        <v>1</v>
      </c>
      <c r="AZ338">
        <v>0</v>
      </c>
      <c r="BA338">
        <v>311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Y338*Source!I208</f>
        <v>1.52</v>
      </c>
      <c r="CY338">
        <f>AA338</f>
        <v>1</v>
      </c>
      <c r="CZ338">
        <f>AE338</f>
        <v>1</v>
      </c>
      <c r="DA338">
        <f>AI338</f>
        <v>1</v>
      </c>
      <c r="DB338">
        <f>ROUND(ROUND(AT338*CZ338,2),2)</f>
        <v>0.19</v>
      </c>
      <c r="DC338">
        <f>ROUND(ROUND(AT338*AG338,2),2)</f>
        <v>0</v>
      </c>
    </row>
    <row r="339" spans="1:107" x14ac:dyDescent="0.2">
      <c r="A339">
        <f>ROW(Source!A210)</f>
        <v>210</v>
      </c>
      <c r="B339">
        <v>16808636</v>
      </c>
      <c r="C339">
        <v>16809097</v>
      </c>
      <c r="D339">
        <v>15435721</v>
      </c>
      <c r="E339">
        <v>1</v>
      </c>
      <c r="F339">
        <v>1</v>
      </c>
      <c r="G339">
        <v>1</v>
      </c>
      <c r="H339">
        <v>1</v>
      </c>
      <c r="I339" t="s">
        <v>739</v>
      </c>
      <c r="J339" t="s">
        <v>6</v>
      </c>
      <c r="K339" t="s">
        <v>740</v>
      </c>
      <c r="L339">
        <v>1191</v>
      </c>
      <c r="N339">
        <v>1013</v>
      </c>
      <c r="O339" t="s">
        <v>708</v>
      </c>
      <c r="P339" t="s">
        <v>708</v>
      </c>
      <c r="Q339">
        <v>1</v>
      </c>
      <c r="W339">
        <v>0</v>
      </c>
      <c r="X339">
        <v>1983201532</v>
      </c>
      <c r="Y339">
        <v>1.8719999999999999</v>
      </c>
      <c r="AA339">
        <v>0</v>
      </c>
      <c r="AB339">
        <v>0</v>
      </c>
      <c r="AC339">
        <v>0</v>
      </c>
      <c r="AD339">
        <v>63.81</v>
      </c>
      <c r="AE339">
        <v>0</v>
      </c>
      <c r="AF339">
        <v>0</v>
      </c>
      <c r="AG339">
        <v>0</v>
      </c>
      <c r="AH339">
        <v>9.51</v>
      </c>
      <c r="AI339">
        <v>1</v>
      </c>
      <c r="AJ339">
        <v>1</v>
      </c>
      <c r="AK339">
        <v>1</v>
      </c>
      <c r="AL339">
        <v>6.71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6</v>
      </c>
      <c r="AT339">
        <v>1.56</v>
      </c>
      <c r="AU339" t="s">
        <v>443</v>
      </c>
      <c r="AV339">
        <v>1</v>
      </c>
      <c r="AW339">
        <v>2</v>
      </c>
      <c r="AX339">
        <v>16809118</v>
      </c>
      <c r="AY339">
        <v>1</v>
      </c>
      <c r="AZ339">
        <v>0</v>
      </c>
      <c r="BA339">
        <v>312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Y339*Source!I210</f>
        <v>67.391999999999996</v>
      </c>
      <c r="CY339">
        <f>AD339</f>
        <v>63.81</v>
      </c>
      <c r="CZ339">
        <f>AH339</f>
        <v>9.51</v>
      </c>
      <c r="DA339">
        <f>AL339</f>
        <v>6.71</v>
      </c>
      <c r="DB339">
        <f>ROUND((ROUND(AT339*CZ339,2)*1.2),2)</f>
        <v>17.809999999999999</v>
      </c>
      <c r="DC339">
        <f>ROUND((ROUND(AT339*AG339,2)*1.2),2)</f>
        <v>0</v>
      </c>
    </row>
    <row r="340" spans="1:107" x14ac:dyDescent="0.2">
      <c r="A340">
        <f>ROW(Source!A210)</f>
        <v>210</v>
      </c>
      <c r="B340">
        <v>16808636</v>
      </c>
      <c r="C340">
        <v>16809097</v>
      </c>
      <c r="D340">
        <v>15249377</v>
      </c>
      <c r="E340">
        <v>1</v>
      </c>
      <c r="F340">
        <v>1</v>
      </c>
      <c r="G340">
        <v>1</v>
      </c>
      <c r="H340">
        <v>2</v>
      </c>
      <c r="I340" t="s">
        <v>952</v>
      </c>
      <c r="J340" t="s">
        <v>953</v>
      </c>
      <c r="K340" t="s">
        <v>954</v>
      </c>
      <c r="L340">
        <v>1368</v>
      </c>
      <c r="N340">
        <v>1011</v>
      </c>
      <c r="O340" t="s">
        <v>714</v>
      </c>
      <c r="P340" t="s">
        <v>714</v>
      </c>
      <c r="Q340">
        <v>1</v>
      </c>
      <c r="W340">
        <v>0</v>
      </c>
      <c r="X340">
        <v>-353815937</v>
      </c>
      <c r="Y340">
        <v>0.156</v>
      </c>
      <c r="AA340">
        <v>0</v>
      </c>
      <c r="AB340">
        <v>54.35</v>
      </c>
      <c r="AC340">
        <v>0</v>
      </c>
      <c r="AD340">
        <v>0</v>
      </c>
      <c r="AE340">
        <v>0</v>
      </c>
      <c r="AF340">
        <v>8.1</v>
      </c>
      <c r="AG340">
        <v>0</v>
      </c>
      <c r="AH340">
        <v>0</v>
      </c>
      <c r="AI340">
        <v>1</v>
      </c>
      <c r="AJ340">
        <v>6.71</v>
      </c>
      <c r="AK340">
        <v>1</v>
      </c>
      <c r="AL340">
        <v>1</v>
      </c>
      <c r="AN340">
        <v>0</v>
      </c>
      <c r="AO340">
        <v>1</v>
      </c>
      <c r="AP340">
        <v>1</v>
      </c>
      <c r="AQ340">
        <v>0</v>
      </c>
      <c r="AR340">
        <v>0</v>
      </c>
      <c r="AS340" t="s">
        <v>6</v>
      </c>
      <c r="AT340">
        <v>0.13</v>
      </c>
      <c r="AU340" t="s">
        <v>443</v>
      </c>
      <c r="AV340">
        <v>0</v>
      </c>
      <c r="AW340">
        <v>2</v>
      </c>
      <c r="AX340">
        <v>16809119</v>
      </c>
      <c r="AY340">
        <v>1</v>
      </c>
      <c r="AZ340">
        <v>0</v>
      </c>
      <c r="BA340">
        <v>313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Y340*Source!I210</f>
        <v>5.6159999999999997</v>
      </c>
      <c r="CY340">
        <f>AB340</f>
        <v>54.35</v>
      </c>
      <c r="CZ340">
        <f>AF340</f>
        <v>8.1</v>
      </c>
      <c r="DA340">
        <f>AJ340</f>
        <v>6.71</v>
      </c>
      <c r="DB340">
        <f>ROUND((ROUND(AT340*CZ340,2)*1.2),2)</f>
        <v>1.26</v>
      </c>
      <c r="DC340">
        <f>ROUND((ROUND(AT340*AG340,2)*1.2),2)</f>
        <v>0</v>
      </c>
    </row>
    <row r="341" spans="1:107" x14ac:dyDescent="0.2">
      <c r="A341">
        <f>ROW(Source!A210)</f>
        <v>210</v>
      </c>
      <c r="B341">
        <v>16808636</v>
      </c>
      <c r="C341">
        <v>16809097</v>
      </c>
      <c r="D341">
        <v>15165537</v>
      </c>
      <c r="E341">
        <v>1</v>
      </c>
      <c r="F341">
        <v>1</v>
      </c>
      <c r="G341">
        <v>1</v>
      </c>
      <c r="H341">
        <v>3</v>
      </c>
      <c r="I341" t="s">
        <v>964</v>
      </c>
      <c r="J341" t="s">
        <v>965</v>
      </c>
      <c r="K341" t="s">
        <v>966</v>
      </c>
      <c r="L341">
        <v>1346</v>
      </c>
      <c r="N341">
        <v>1009</v>
      </c>
      <c r="O341" t="s">
        <v>300</v>
      </c>
      <c r="P341" t="s">
        <v>300</v>
      </c>
      <c r="Q341">
        <v>1</v>
      </c>
      <c r="W341">
        <v>0</v>
      </c>
      <c r="X341">
        <v>618806536</v>
      </c>
      <c r="Y341">
        <v>6.0000000000000001E-3</v>
      </c>
      <c r="AA341">
        <v>301.75</v>
      </c>
      <c r="AB341">
        <v>0</v>
      </c>
      <c r="AC341">
        <v>0</v>
      </c>
      <c r="AD341">
        <v>0</v>
      </c>
      <c r="AE341">
        <v>44.97</v>
      </c>
      <c r="AF341">
        <v>0</v>
      </c>
      <c r="AG341">
        <v>0</v>
      </c>
      <c r="AH341">
        <v>0</v>
      </c>
      <c r="AI341">
        <v>6.71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6</v>
      </c>
      <c r="AT341">
        <v>6.0000000000000001E-3</v>
      </c>
      <c r="AU341" t="s">
        <v>6</v>
      </c>
      <c r="AV341">
        <v>0</v>
      </c>
      <c r="AW341">
        <v>2</v>
      </c>
      <c r="AX341">
        <v>16809120</v>
      </c>
      <c r="AY341">
        <v>1</v>
      </c>
      <c r="AZ341">
        <v>0</v>
      </c>
      <c r="BA341">
        <v>314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Y341*Source!I210</f>
        <v>0.216</v>
      </c>
      <c r="CY341">
        <f t="shared" ref="CY341:CY355" si="61">AA341</f>
        <v>301.75</v>
      </c>
      <c r="CZ341">
        <f t="shared" ref="CZ341:CZ355" si="62">AE341</f>
        <v>44.97</v>
      </c>
      <c r="DA341">
        <f t="shared" ref="DA341:DA355" si="63">AI341</f>
        <v>6.71</v>
      </c>
      <c r="DB341">
        <f t="shared" ref="DB341:DB355" si="64">ROUND(ROUND(AT341*CZ341,2),2)</f>
        <v>0.27</v>
      </c>
      <c r="DC341">
        <f t="shared" ref="DC341:DC355" si="65">ROUND(ROUND(AT341*AG341,2),2)</f>
        <v>0</v>
      </c>
    </row>
    <row r="342" spans="1:107" x14ac:dyDescent="0.2">
      <c r="A342">
        <f>ROW(Source!A210)</f>
        <v>210</v>
      </c>
      <c r="B342">
        <v>16808636</v>
      </c>
      <c r="C342">
        <v>16809097</v>
      </c>
      <c r="D342">
        <v>15167269</v>
      </c>
      <c r="E342">
        <v>1</v>
      </c>
      <c r="F342">
        <v>1</v>
      </c>
      <c r="G342">
        <v>1</v>
      </c>
      <c r="H342">
        <v>3</v>
      </c>
      <c r="I342" t="s">
        <v>967</v>
      </c>
      <c r="J342" t="s">
        <v>968</v>
      </c>
      <c r="K342" t="s">
        <v>969</v>
      </c>
      <c r="L342">
        <v>1346</v>
      </c>
      <c r="N342">
        <v>1009</v>
      </c>
      <c r="O342" t="s">
        <v>300</v>
      </c>
      <c r="P342" t="s">
        <v>300</v>
      </c>
      <c r="Q342">
        <v>1</v>
      </c>
      <c r="W342">
        <v>0</v>
      </c>
      <c r="X342">
        <v>56922527</v>
      </c>
      <c r="Y342">
        <v>1E-3</v>
      </c>
      <c r="AA342">
        <v>77.17</v>
      </c>
      <c r="AB342">
        <v>0</v>
      </c>
      <c r="AC342">
        <v>0</v>
      </c>
      <c r="AD342">
        <v>0</v>
      </c>
      <c r="AE342">
        <v>11.5</v>
      </c>
      <c r="AF342">
        <v>0</v>
      </c>
      <c r="AG342">
        <v>0</v>
      </c>
      <c r="AH342">
        <v>0</v>
      </c>
      <c r="AI342">
        <v>6.71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6</v>
      </c>
      <c r="AT342">
        <v>1E-3</v>
      </c>
      <c r="AU342" t="s">
        <v>6</v>
      </c>
      <c r="AV342">
        <v>0</v>
      </c>
      <c r="AW342">
        <v>2</v>
      </c>
      <c r="AX342">
        <v>16809121</v>
      </c>
      <c r="AY342">
        <v>1</v>
      </c>
      <c r="AZ342">
        <v>0</v>
      </c>
      <c r="BA342">
        <v>315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Y342*Source!I210</f>
        <v>3.6000000000000004E-2</v>
      </c>
      <c r="CY342">
        <f t="shared" si="61"/>
        <v>77.17</v>
      </c>
      <c r="CZ342">
        <f t="shared" si="62"/>
        <v>11.5</v>
      </c>
      <c r="DA342">
        <f t="shared" si="63"/>
        <v>6.71</v>
      </c>
      <c r="DB342">
        <f t="shared" si="64"/>
        <v>0.01</v>
      </c>
      <c r="DC342">
        <f t="shared" si="65"/>
        <v>0</v>
      </c>
    </row>
    <row r="343" spans="1:107" x14ac:dyDescent="0.2">
      <c r="A343">
        <f>ROW(Source!A210)</f>
        <v>210</v>
      </c>
      <c r="B343">
        <v>16808636</v>
      </c>
      <c r="C343">
        <v>16809097</v>
      </c>
      <c r="D343">
        <v>15167588</v>
      </c>
      <c r="E343">
        <v>1</v>
      </c>
      <c r="F343">
        <v>1</v>
      </c>
      <c r="G343">
        <v>1</v>
      </c>
      <c r="H343">
        <v>3</v>
      </c>
      <c r="I343" t="s">
        <v>727</v>
      </c>
      <c r="J343" t="s">
        <v>728</v>
      </c>
      <c r="K343" t="s">
        <v>729</v>
      </c>
      <c r="L343">
        <v>1346</v>
      </c>
      <c r="N343">
        <v>1009</v>
      </c>
      <c r="O343" t="s">
        <v>300</v>
      </c>
      <c r="P343" t="s">
        <v>300</v>
      </c>
      <c r="Q343">
        <v>1</v>
      </c>
      <c r="W343">
        <v>0</v>
      </c>
      <c r="X343">
        <v>-1088866022</v>
      </c>
      <c r="Y343">
        <v>1.2E-2</v>
      </c>
      <c r="AA343">
        <v>203.98</v>
      </c>
      <c r="AB343">
        <v>0</v>
      </c>
      <c r="AC343">
        <v>0</v>
      </c>
      <c r="AD343">
        <v>0</v>
      </c>
      <c r="AE343">
        <v>30.4</v>
      </c>
      <c r="AF343">
        <v>0</v>
      </c>
      <c r="AG343">
        <v>0</v>
      </c>
      <c r="AH343">
        <v>0</v>
      </c>
      <c r="AI343">
        <v>6.71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6</v>
      </c>
      <c r="AT343">
        <v>1.2E-2</v>
      </c>
      <c r="AU343" t="s">
        <v>6</v>
      </c>
      <c r="AV343">
        <v>0</v>
      </c>
      <c r="AW343">
        <v>2</v>
      </c>
      <c r="AX343">
        <v>16809122</v>
      </c>
      <c r="AY343">
        <v>1</v>
      </c>
      <c r="AZ343">
        <v>0</v>
      </c>
      <c r="BA343">
        <v>316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Y343*Source!I210</f>
        <v>0.432</v>
      </c>
      <c r="CY343">
        <f t="shared" si="61"/>
        <v>203.98</v>
      </c>
      <c r="CZ343">
        <f t="shared" si="62"/>
        <v>30.4</v>
      </c>
      <c r="DA343">
        <f t="shared" si="63"/>
        <v>6.71</v>
      </c>
      <c r="DB343">
        <f t="shared" si="64"/>
        <v>0.36</v>
      </c>
      <c r="DC343">
        <f t="shared" si="65"/>
        <v>0</v>
      </c>
    </row>
    <row r="344" spans="1:107" x14ac:dyDescent="0.2">
      <c r="A344">
        <f>ROW(Source!A210)</f>
        <v>210</v>
      </c>
      <c r="B344">
        <v>16808636</v>
      </c>
      <c r="C344">
        <v>16809097</v>
      </c>
      <c r="D344">
        <v>15168752</v>
      </c>
      <c r="E344">
        <v>1</v>
      </c>
      <c r="F344">
        <v>1</v>
      </c>
      <c r="G344">
        <v>1</v>
      </c>
      <c r="H344">
        <v>3</v>
      </c>
      <c r="I344" t="s">
        <v>955</v>
      </c>
      <c r="J344" t="s">
        <v>956</v>
      </c>
      <c r="K344" t="s">
        <v>957</v>
      </c>
      <c r="L344">
        <v>1346</v>
      </c>
      <c r="N344">
        <v>1009</v>
      </c>
      <c r="O344" t="s">
        <v>300</v>
      </c>
      <c r="P344" t="s">
        <v>300</v>
      </c>
      <c r="Q344">
        <v>1</v>
      </c>
      <c r="W344">
        <v>0</v>
      </c>
      <c r="X344">
        <v>586013393</v>
      </c>
      <c r="Y344">
        <v>7.0000000000000007E-2</v>
      </c>
      <c r="AA344">
        <v>70.92</v>
      </c>
      <c r="AB344">
        <v>0</v>
      </c>
      <c r="AC344">
        <v>0</v>
      </c>
      <c r="AD344">
        <v>0</v>
      </c>
      <c r="AE344">
        <v>10.57</v>
      </c>
      <c r="AF344">
        <v>0</v>
      </c>
      <c r="AG344">
        <v>0</v>
      </c>
      <c r="AH344">
        <v>0</v>
      </c>
      <c r="AI344">
        <v>6.71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6</v>
      </c>
      <c r="AT344">
        <v>7.0000000000000007E-2</v>
      </c>
      <c r="AU344" t="s">
        <v>6</v>
      </c>
      <c r="AV344">
        <v>0</v>
      </c>
      <c r="AW344">
        <v>2</v>
      </c>
      <c r="AX344">
        <v>16809123</v>
      </c>
      <c r="AY344">
        <v>1</v>
      </c>
      <c r="AZ344">
        <v>0</v>
      </c>
      <c r="BA344">
        <v>317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Y344*Source!I210</f>
        <v>2.5200000000000005</v>
      </c>
      <c r="CY344">
        <f t="shared" si="61"/>
        <v>70.92</v>
      </c>
      <c r="CZ344">
        <f t="shared" si="62"/>
        <v>10.57</v>
      </c>
      <c r="DA344">
        <f t="shared" si="63"/>
        <v>6.71</v>
      </c>
      <c r="DB344">
        <f t="shared" si="64"/>
        <v>0.74</v>
      </c>
      <c r="DC344">
        <f t="shared" si="65"/>
        <v>0</v>
      </c>
    </row>
    <row r="345" spans="1:107" x14ac:dyDescent="0.2">
      <c r="A345">
        <f>ROW(Source!A210)</f>
        <v>210</v>
      </c>
      <c r="B345">
        <v>16808636</v>
      </c>
      <c r="C345">
        <v>16809097</v>
      </c>
      <c r="D345">
        <v>15169942</v>
      </c>
      <c r="E345">
        <v>1</v>
      </c>
      <c r="F345">
        <v>1</v>
      </c>
      <c r="G345">
        <v>1</v>
      </c>
      <c r="H345">
        <v>3</v>
      </c>
      <c r="I345" t="s">
        <v>730</v>
      </c>
      <c r="J345" t="s">
        <v>731</v>
      </c>
      <c r="K345" t="s">
        <v>732</v>
      </c>
      <c r="L345">
        <v>1346</v>
      </c>
      <c r="N345">
        <v>1009</v>
      </c>
      <c r="O345" t="s">
        <v>300</v>
      </c>
      <c r="P345" t="s">
        <v>300</v>
      </c>
      <c r="Q345">
        <v>1</v>
      </c>
      <c r="W345">
        <v>0</v>
      </c>
      <c r="X345">
        <v>103900845</v>
      </c>
      <c r="Y345">
        <v>4.9000000000000002E-2</v>
      </c>
      <c r="AA345">
        <v>60.66</v>
      </c>
      <c r="AB345">
        <v>0</v>
      </c>
      <c r="AC345">
        <v>0</v>
      </c>
      <c r="AD345">
        <v>0</v>
      </c>
      <c r="AE345">
        <v>9.0399999999999991</v>
      </c>
      <c r="AF345">
        <v>0</v>
      </c>
      <c r="AG345">
        <v>0</v>
      </c>
      <c r="AH345">
        <v>0</v>
      </c>
      <c r="AI345">
        <v>6.71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6</v>
      </c>
      <c r="AT345">
        <v>4.9000000000000002E-2</v>
      </c>
      <c r="AU345" t="s">
        <v>6</v>
      </c>
      <c r="AV345">
        <v>0</v>
      </c>
      <c r="AW345">
        <v>2</v>
      </c>
      <c r="AX345">
        <v>16809124</v>
      </c>
      <c r="AY345">
        <v>1</v>
      </c>
      <c r="AZ345">
        <v>0</v>
      </c>
      <c r="BA345">
        <v>318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Y345*Source!I210</f>
        <v>1.764</v>
      </c>
      <c r="CY345">
        <f t="shared" si="61"/>
        <v>60.66</v>
      </c>
      <c r="CZ345">
        <f t="shared" si="62"/>
        <v>9.0399999999999991</v>
      </c>
      <c r="DA345">
        <f t="shared" si="63"/>
        <v>6.71</v>
      </c>
      <c r="DB345">
        <f t="shared" si="64"/>
        <v>0.44</v>
      </c>
      <c r="DC345">
        <f t="shared" si="65"/>
        <v>0</v>
      </c>
    </row>
    <row r="346" spans="1:107" x14ac:dyDescent="0.2">
      <c r="A346">
        <f>ROW(Source!A210)</f>
        <v>210</v>
      </c>
      <c r="B346">
        <v>16808636</v>
      </c>
      <c r="C346">
        <v>16809097</v>
      </c>
      <c r="D346">
        <v>15170074</v>
      </c>
      <c r="E346">
        <v>1</v>
      </c>
      <c r="F346">
        <v>1</v>
      </c>
      <c r="G346">
        <v>1</v>
      </c>
      <c r="H346">
        <v>3</v>
      </c>
      <c r="I346" t="s">
        <v>946</v>
      </c>
      <c r="J346" t="s">
        <v>947</v>
      </c>
      <c r="K346" t="s">
        <v>948</v>
      </c>
      <c r="L346">
        <v>1355</v>
      </c>
      <c r="N346">
        <v>1010</v>
      </c>
      <c r="O346" t="s">
        <v>326</v>
      </c>
      <c r="P346" t="s">
        <v>326</v>
      </c>
      <c r="Q346">
        <v>100</v>
      </c>
      <c r="W346">
        <v>0</v>
      </c>
      <c r="X346">
        <v>1794244060</v>
      </c>
      <c r="Y346">
        <v>1.4E-2</v>
      </c>
      <c r="AA346">
        <v>577.05999999999995</v>
      </c>
      <c r="AB346">
        <v>0</v>
      </c>
      <c r="AC346">
        <v>0</v>
      </c>
      <c r="AD346">
        <v>0</v>
      </c>
      <c r="AE346">
        <v>86</v>
      </c>
      <c r="AF346">
        <v>0</v>
      </c>
      <c r="AG346">
        <v>0</v>
      </c>
      <c r="AH346">
        <v>0</v>
      </c>
      <c r="AI346">
        <v>6.71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6</v>
      </c>
      <c r="AT346">
        <v>1.4E-2</v>
      </c>
      <c r="AU346" t="s">
        <v>6</v>
      </c>
      <c r="AV346">
        <v>0</v>
      </c>
      <c r="AW346">
        <v>2</v>
      </c>
      <c r="AX346">
        <v>16809125</v>
      </c>
      <c r="AY346">
        <v>1</v>
      </c>
      <c r="AZ346">
        <v>0</v>
      </c>
      <c r="BA346">
        <v>319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Y346*Source!I210</f>
        <v>0.504</v>
      </c>
      <c r="CY346">
        <f t="shared" si="61"/>
        <v>577.05999999999995</v>
      </c>
      <c r="CZ346">
        <f t="shared" si="62"/>
        <v>86</v>
      </c>
      <c r="DA346">
        <f t="shared" si="63"/>
        <v>6.71</v>
      </c>
      <c r="DB346">
        <f t="shared" si="64"/>
        <v>1.2</v>
      </c>
      <c r="DC346">
        <f t="shared" si="65"/>
        <v>0</v>
      </c>
    </row>
    <row r="347" spans="1:107" x14ac:dyDescent="0.2">
      <c r="A347">
        <f>ROW(Source!A210)</f>
        <v>210</v>
      </c>
      <c r="B347">
        <v>16808636</v>
      </c>
      <c r="C347">
        <v>16809097</v>
      </c>
      <c r="D347">
        <v>15170994</v>
      </c>
      <c r="E347">
        <v>1</v>
      </c>
      <c r="F347">
        <v>1</v>
      </c>
      <c r="G347">
        <v>1</v>
      </c>
      <c r="H347">
        <v>3</v>
      </c>
      <c r="I347" t="s">
        <v>970</v>
      </c>
      <c r="J347" t="s">
        <v>971</v>
      </c>
      <c r="K347" t="s">
        <v>972</v>
      </c>
      <c r="L347">
        <v>1346</v>
      </c>
      <c r="N347">
        <v>1009</v>
      </c>
      <c r="O347" t="s">
        <v>300</v>
      </c>
      <c r="P347" t="s">
        <v>300</v>
      </c>
      <c r="Q347">
        <v>1</v>
      </c>
      <c r="W347">
        <v>0</v>
      </c>
      <c r="X347">
        <v>-856710481</v>
      </c>
      <c r="Y347">
        <v>1E-3</v>
      </c>
      <c r="AA347">
        <v>892.77</v>
      </c>
      <c r="AB347">
        <v>0</v>
      </c>
      <c r="AC347">
        <v>0</v>
      </c>
      <c r="AD347">
        <v>0</v>
      </c>
      <c r="AE347">
        <v>133.05000000000001</v>
      </c>
      <c r="AF347">
        <v>0</v>
      </c>
      <c r="AG347">
        <v>0</v>
      </c>
      <c r="AH347">
        <v>0</v>
      </c>
      <c r="AI347">
        <v>6.71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0</v>
      </c>
      <c r="AQ347">
        <v>0</v>
      </c>
      <c r="AR347">
        <v>0</v>
      </c>
      <c r="AS347" t="s">
        <v>6</v>
      </c>
      <c r="AT347">
        <v>1E-3</v>
      </c>
      <c r="AU347" t="s">
        <v>6</v>
      </c>
      <c r="AV347">
        <v>0</v>
      </c>
      <c r="AW347">
        <v>2</v>
      </c>
      <c r="AX347">
        <v>16809126</v>
      </c>
      <c r="AY347">
        <v>1</v>
      </c>
      <c r="AZ347">
        <v>0</v>
      </c>
      <c r="BA347">
        <v>320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Y347*Source!I210</f>
        <v>3.6000000000000004E-2</v>
      </c>
      <c r="CY347">
        <f t="shared" si="61"/>
        <v>892.77</v>
      </c>
      <c r="CZ347">
        <f t="shared" si="62"/>
        <v>133.05000000000001</v>
      </c>
      <c r="DA347">
        <f t="shared" si="63"/>
        <v>6.71</v>
      </c>
      <c r="DB347">
        <f t="shared" si="64"/>
        <v>0.13</v>
      </c>
      <c r="DC347">
        <f t="shared" si="65"/>
        <v>0</v>
      </c>
    </row>
    <row r="348" spans="1:107" x14ac:dyDescent="0.2">
      <c r="A348">
        <f>ROW(Source!A210)</f>
        <v>210</v>
      </c>
      <c r="B348">
        <v>16808636</v>
      </c>
      <c r="C348">
        <v>16809097</v>
      </c>
      <c r="D348">
        <v>15188647</v>
      </c>
      <c r="E348">
        <v>1</v>
      </c>
      <c r="F348">
        <v>1</v>
      </c>
      <c r="G348">
        <v>1</v>
      </c>
      <c r="H348">
        <v>3</v>
      </c>
      <c r="I348" t="s">
        <v>973</v>
      </c>
      <c r="J348" t="s">
        <v>974</v>
      </c>
      <c r="K348" t="s">
        <v>975</v>
      </c>
      <c r="L348">
        <v>1348</v>
      </c>
      <c r="N348">
        <v>1009</v>
      </c>
      <c r="O348" t="s">
        <v>104</v>
      </c>
      <c r="P348" t="s">
        <v>104</v>
      </c>
      <c r="Q348">
        <v>1000</v>
      </c>
      <c r="W348">
        <v>0</v>
      </c>
      <c r="X348">
        <v>426000481</v>
      </c>
      <c r="Y348">
        <v>1E-3</v>
      </c>
      <c r="AA348">
        <v>77165</v>
      </c>
      <c r="AB348">
        <v>0</v>
      </c>
      <c r="AC348">
        <v>0</v>
      </c>
      <c r="AD348">
        <v>0</v>
      </c>
      <c r="AE348">
        <v>11500</v>
      </c>
      <c r="AF348">
        <v>0</v>
      </c>
      <c r="AG348">
        <v>0</v>
      </c>
      <c r="AH348">
        <v>0</v>
      </c>
      <c r="AI348">
        <v>6.71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6</v>
      </c>
      <c r="AT348">
        <v>1E-3</v>
      </c>
      <c r="AU348" t="s">
        <v>6</v>
      </c>
      <c r="AV348">
        <v>0</v>
      </c>
      <c r="AW348">
        <v>2</v>
      </c>
      <c r="AX348">
        <v>16809127</v>
      </c>
      <c r="AY348">
        <v>1</v>
      </c>
      <c r="AZ348">
        <v>0</v>
      </c>
      <c r="BA348">
        <v>321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Y348*Source!I210</f>
        <v>3.6000000000000004E-2</v>
      </c>
      <c r="CY348">
        <f t="shared" si="61"/>
        <v>77165</v>
      </c>
      <c r="CZ348">
        <f t="shared" si="62"/>
        <v>11500</v>
      </c>
      <c r="DA348">
        <f t="shared" si="63"/>
        <v>6.71</v>
      </c>
      <c r="DB348">
        <f t="shared" si="64"/>
        <v>11.5</v>
      </c>
      <c r="DC348">
        <f t="shared" si="65"/>
        <v>0</v>
      </c>
    </row>
    <row r="349" spans="1:107" x14ac:dyDescent="0.2">
      <c r="A349">
        <f>ROW(Source!A210)</f>
        <v>210</v>
      </c>
      <c r="B349">
        <v>16808636</v>
      </c>
      <c r="C349">
        <v>16809097</v>
      </c>
      <c r="D349">
        <v>15203834</v>
      </c>
      <c r="E349">
        <v>1</v>
      </c>
      <c r="F349">
        <v>1</v>
      </c>
      <c r="G349">
        <v>1</v>
      </c>
      <c r="H349">
        <v>3</v>
      </c>
      <c r="I349" t="s">
        <v>932</v>
      </c>
      <c r="J349" t="s">
        <v>933</v>
      </c>
      <c r="K349" t="s">
        <v>934</v>
      </c>
      <c r="L349">
        <v>1346</v>
      </c>
      <c r="N349">
        <v>1009</v>
      </c>
      <c r="O349" t="s">
        <v>300</v>
      </c>
      <c r="P349" t="s">
        <v>300</v>
      </c>
      <c r="Q349">
        <v>1</v>
      </c>
      <c r="W349">
        <v>0</v>
      </c>
      <c r="X349">
        <v>210558753</v>
      </c>
      <c r="Y349">
        <v>3.5999999999999997E-2</v>
      </c>
      <c r="AA349">
        <v>191.91</v>
      </c>
      <c r="AB349">
        <v>0</v>
      </c>
      <c r="AC349">
        <v>0</v>
      </c>
      <c r="AD349">
        <v>0</v>
      </c>
      <c r="AE349">
        <v>28.6</v>
      </c>
      <c r="AF349">
        <v>0</v>
      </c>
      <c r="AG349">
        <v>0</v>
      </c>
      <c r="AH349">
        <v>0</v>
      </c>
      <c r="AI349">
        <v>6.71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6</v>
      </c>
      <c r="AT349">
        <v>3.5999999999999997E-2</v>
      </c>
      <c r="AU349" t="s">
        <v>6</v>
      </c>
      <c r="AV349">
        <v>0</v>
      </c>
      <c r="AW349">
        <v>2</v>
      </c>
      <c r="AX349">
        <v>16809128</v>
      </c>
      <c r="AY349">
        <v>1</v>
      </c>
      <c r="AZ349">
        <v>0</v>
      </c>
      <c r="BA349">
        <v>322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Y349*Source!I210</f>
        <v>1.2959999999999998</v>
      </c>
      <c r="CY349">
        <f t="shared" si="61"/>
        <v>191.91</v>
      </c>
      <c r="CZ349">
        <f t="shared" si="62"/>
        <v>28.6</v>
      </c>
      <c r="DA349">
        <f t="shared" si="63"/>
        <v>6.71</v>
      </c>
      <c r="DB349">
        <f t="shared" si="64"/>
        <v>1.03</v>
      </c>
      <c r="DC349">
        <f t="shared" si="65"/>
        <v>0</v>
      </c>
    </row>
    <row r="350" spans="1:107" x14ac:dyDescent="0.2">
      <c r="A350">
        <f>ROW(Source!A210)</f>
        <v>210</v>
      </c>
      <c r="B350">
        <v>16808636</v>
      </c>
      <c r="C350">
        <v>16809097</v>
      </c>
      <c r="D350">
        <v>15203987</v>
      </c>
      <c r="E350">
        <v>1</v>
      </c>
      <c r="F350">
        <v>1</v>
      </c>
      <c r="G350">
        <v>1</v>
      </c>
      <c r="H350">
        <v>3</v>
      </c>
      <c r="I350" t="s">
        <v>976</v>
      </c>
      <c r="J350" t="s">
        <v>977</v>
      </c>
      <c r="K350" t="s">
        <v>978</v>
      </c>
      <c r="L350">
        <v>1346</v>
      </c>
      <c r="N350">
        <v>1009</v>
      </c>
      <c r="O350" t="s">
        <v>300</v>
      </c>
      <c r="P350" t="s">
        <v>300</v>
      </c>
      <c r="Q350">
        <v>1</v>
      </c>
      <c r="W350">
        <v>0</v>
      </c>
      <c r="X350">
        <v>-1274984028</v>
      </c>
      <c r="Y350">
        <v>6.0000000000000001E-3</v>
      </c>
      <c r="AA350">
        <v>239.08</v>
      </c>
      <c r="AB350">
        <v>0</v>
      </c>
      <c r="AC350">
        <v>0</v>
      </c>
      <c r="AD350">
        <v>0</v>
      </c>
      <c r="AE350">
        <v>35.630000000000003</v>
      </c>
      <c r="AF350">
        <v>0</v>
      </c>
      <c r="AG350">
        <v>0</v>
      </c>
      <c r="AH350">
        <v>0</v>
      </c>
      <c r="AI350">
        <v>6.71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6</v>
      </c>
      <c r="AT350">
        <v>6.0000000000000001E-3</v>
      </c>
      <c r="AU350" t="s">
        <v>6</v>
      </c>
      <c r="AV350">
        <v>0</v>
      </c>
      <c r="AW350">
        <v>2</v>
      </c>
      <c r="AX350">
        <v>16809129</v>
      </c>
      <c r="AY350">
        <v>1</v>
      </c>
      <c r="AZ350">
        <v>0</v>
      </c>
      <c r="BA350">
        <v>323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Y350*Source!I210</f>
        <v>0.216</v>
      </c>
      <c r="CY350">
        <f t="shared" si="61"/>
        <v>239.08</v>
      </c>
      <c r="CZ350">
        <f t="shared" si="62"/>
        <v>35.630000000000003</v>
      </c>
      <c r="DA350">
        <f t="shared" si="63"/>
        <v>6.71</v>
      </c>
      <c r="DB350">
        <f t="shared" si="64"/>
        <v>0.21</v>
      </c>
      <c r="DC350">
        <f t="shared" si="65"/>
        <v>0</v>
      </c>
    </row>
    <row r="351" spans="1:107" x14ac:dyDescent="0.2">
      <c r="A351">
        <f>ROW(Source!A210)</f>
        <v>210</v>
      </c>
      <c r="B351">
        <v>16808636</v>
      </c>
      <c r="C351">
        <v>16809097</v>
      </c>
      <c r="D351">
        <v>15217463</v>
      </c>
      <c r="E351">
        <v>1</v>
      </c>
      <c r="F351">
        <v>1</v>
      </c>
      <c r="G351">
        <v>1</v>
      </c>
      <c r="H351">
        <v>3</v>
      </c>
      <c r="I351" t="s">
        <v>979</v>
      </c>
      <c r="J351" t="s">
        <v>980</v>
      </c>
      <c r="K351" t="s">
        <v>981</v>
      </c>
      <c r="L351">
        <v>1358</v>
      </c>
      <c r="N351">
        <v>1010</v>
      </c>
      <c r="O351" t="s">
        <v>512</v>
      </c>
      <c r="P351" t="s">
        <v>512</v>
      </c>
      <c r="Q351">
        <v>10</v>
      </c>
      <c r="W351">
        <v>0</v>
      </c>
      <c r="X351">
        <v>1386890308</v>
      </c>
      <c r="Y351">
        <v>0.1</v>
      </c>
      <c r="AA351">
        <v>261.69</v>
      </c>
      <c r="AB351">
        <v>0</v>
      </c>
      <c r="AC351">
        <v>0</v>
      </c>
      <c r="AD351">
        <v>0</v>
      </c>
      <c r="AE351">
        <v>39</v>
      </c>
      <c r="AF351">
        <v>0</v>
      </c>
      <c r="AG351">
        <v>0</v>
      </c>
      <c r="AH351">
        <v>0</v>
      </c>
      <c r="AI351">
        <v>6.71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6</v>
      </c>
      <c r="AT351">
        <v>0.1</v>
      </c>
      <c r="AU351" t="s">
        <v>6</v>
      </c>
      <c r="AV351">
        <v>0</v>
      </c>
      <c r="AW351">
        <v>2</v>
      </c>
      <c r="AX351">
        <v>16809130</v>
      </c>
      <c r="AY351">
        <v>1</v>
      </c>
      <c r="AZ351">
        <v>0</v>
      </c>
      <c r="BA351">
        <v>324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Y351*Source!I210</f>
        <v>3.6</v>
      </c>
      <c r="CY351">
        <f t="shared" si="61"/>
        <v>261.69</v>
      </c>
      <c r="CZ351">
        <f t="shared" si="62"/>
        <v>39</v>
      </c>
      <c r="DA351">
        <f t="shared" si="63"/>
        <v>6.71</v>
      </c>
      <c r="DB351">
        <f t="shared" si="64"/>
        <v>3.9</v>
      </c>
      <c r="DC351">
        <f t="shared" si="65"/>
        <v>0</v>
      </c>
    </row>
    <row r="352" spans="1:107" x14ac:dyDescent="0.2">
      <c r="A352">
        <f>ROW(Source!A210)</f>
        <v>210</v>
      </c>
      <c r="B352">
        <v>16808636</v>
      </c>
      <c r="C352">
        <v>16809097</v>
      </c>
      <c r="D352">
        <v>15238970</v>
      </c>
      <c r="E352">
        <v>1</v>
      </c>
      <c r="F352">
        <v>1</v>
      </c>
      <c r="G352">
        <v>1</v>
      </c>
      <c r="H352">
        <v>3</v>
      </c>
      <c r="I352" t="s">
        <v>553</v>
      </c>
      <c r="J352" t="s">
        <v>555</v>
      </c>
      <c r="K352" t="s">
        <v>554</v>
      </c>
      <c r="L352">
        <v>1354</v>
      </c>
      <c r="N352">
        <v>1010</v>
      </c>
      <c r="O352" t="s">
        <v>350</v>
      </c>
      <c r="P352" t="s">
        <v>350</v>
      </c>
      <c r="Q352">
        <v>1</v>
      </c>
      <c r="W352">
        <v>0</v>
      </c>
      <c r="X352">
        <v>1335085122</v>
      </c>
      <c r="Y352">
        <v>0.55555600000000005</v>
      </c>
      <c r="AA352">
        <v>310.33999999999997</v>
      </c>
      <c r="AB352">
        <v>0</v>
      </c>
      <c r="AC352">
        <v>0</v>
      </c>
      <c r="AD352">
        <v>0</v>
      </c>
      <c r="AE352">
        <v>46.25</v>
      </c>
      <c r="AF352">
        <v>0</v>
      </c>
      <c r="AG352">
        <v>0</v>
      </c>
      <c r="AH352">
        <v>0</v>
      </c>
      <c r="AI352">
        <v>6.71</v>
      </c>
      <c r="AJ352">
        <v>1</v>
      </c>
      <c r="AK352">
        <v>1</v>
      </c>
      <c r="AL352">
        <v>1</v>
      </c>
      <c r="AN352">
        <v>0</v>
      </c>
      <c r="AO352">
        <v>0</v>
      </c>
      <c r="AP352">
        <v>0</v>
      </c>
      <c r="AQ352">
        <v>0</v>
      </c>
      <c r="AR352">
        <v>0</v>
      </c>
      <c r="AS352" t="s">
        <v>6</v>
      </c>
      <c r="AT352">
        <v>0.55555600000000005</v>
      </c>
      <c r="AU352" t="s">
        <v>6</v>
      </c>
      <c r="AV352">
        <v>0</v>
      </c>
      <c r="AW352">
        <v>1</v>
      </c>
      <c r="AX352">
        <v>-1</v>
      </c>
      <c r="AY352">
        <v>0</v>
      </c>
      <c r="AZ352">
        <v>0</v>
      </c>
      <c r="BA352" t="s">
        <v>6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Y352*Source!I210</f>
        <v>20.000016000000002</v>
      </c>
      <c r="CY352">
        <f t="shared" si="61"/>
        <v>310.33999999999997</v>
      </c>
      <c r="CZ352">
        <f t="shared" si="62"/>
        <v>46.25</v>
      </c>
      <c r="DA352">
        <f t="shared" si="63"/>
        <v>6.71</v>
      </c>
      <c r="DB352">
        <f t="shared" si="64"/>
        <v>25.69</v>
      </c>
      <c r="DC352">
        <f t="shared" si="65"/>
        <v>0</v>
      </c>
    </row>
    <row r="353" spans="1:107" x14ac:dyDescent="0.2">
      <c r="A353">
        <f>ROW(Source!A210)</f>
        <v>210</v>
      </c>
      <c r="B353">
        <v>16808636</v>
      </c>
      <c r="C353">
        <v>16809097</v>
      </c>
      <c r="D353">
        <v>15238971</v>
      </c>
      <c r="E353">
        <v>1</v>
      </c>
      <c r="F353">
        <v>1</v>
      </c>
      <c r="G353">
        <v>1</v>
      </c>
      <c r="H353">
        <v>3</v>
      </c>
      <c r="I353" t="s">
        <v>549</v>
      </c>
      <c r="J353" t="s">
        <v>551</v>
      </c>
      <c r="K353" t="s">
        <v>550</v>
      </c>
      <c r="L353">
        <v>1354</v>
      </c>
      <c r="N353">
        <v>1010</v>
      </c>
      <c r="O353" t="s">
        <v>350</v>
      </c>
      <c r="P353" t="s">
        <v>350</v>
      </c>
      <c r="Q353">
        <v>1</v>
      </c>
      <c r="W353">
        <v>0</v>
      </c>
      <c r="X353">
        <v>-922264399</v>
      </c>
      <c r="Y353">
        <v>0.222222</v>
      </c>
      <c r="AA353">
        <v>281.48</v>
      </c>
      <c r="AB353">
        <v>0</v>
      </c>
      <c r="AC353">
        <v>0</v>
      </c>
      <c r="AD353">
        <v>0</v>
      </c>
      <c r="AE353">
        <v>41.95</v>
      </c>
      <c r="AF353">
        <v>0</v>
      </c>
      <c r="AG353">
        <v>0</v>
      </c>
      <c r="AH353">
        <v>0</v>
      </c>
      <c r="AI353">
        <v>6.71</v>
      </c>
      <c r="AJ353">
        <v>1</v>
      </c>
      <c r="AK353">
        <v>1</v>
      </c>
      <c r="AL353">
        <v>1</v>
      </c>
      <c r="AN353">
        <v>0</v>
      </c>
      <c r="AO353">
        <v>0</v>
      </c>
      <c r="AP353">
        <v>0</v>
      </c>
      <c r="AQ353">
        <v>0</v>
      </c>
      <c r="AR353">
        <v>0</v>
      </c>
      <c r="AS353" t="s">
        <v>6</v>
      </c>
      <c r="AT353">
        <v>0.222222</v>
      </c>
      <c r="AU353" t="s">
        <v>6</v>
      </c>
      <c r="AV353">
        <v>0</v>
      </c>
      <c r="AW353">
        <v>1</v>
      </c>
      <c r="AX353">
        <v>-1</v>
      </c>
      <c r="AY353">
        <v>0</v>
      </c>
      <c r="AZ353">
        <v>0</v>
      </c>
      <c r="BA353" t="s">
        <v>6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Y353*Source!I210</f>
        <v>7.9999919999999998</v>
      </c>
      <c r="CY353">
        <f t="shared" si="61"/>
        <v>281.48</v>
      </c>
      <c r="CZ353">
        <f t="shared" si="62"/>
        <v>41.95</v>
      </c>
      <c r="DA353">
        <f t="shared" si="63"/>
        <v>6.71</v>
      </c>
      <c r="DB353">
        <f t="shared" si="64"/>
        <v>9.32</v>
      </c>
      <c r="DC353">
        <f t="shared" si="65"/>
        <v>0</v>
      </c>
    </row>
    <row r="354" spans="1:107" x14ac:dyDescent="0.2">
      <c r="A354">
        <f>ROW(Source!A210)</f>
        <v>210</v>
      </c>
      <c r="B354">
        <v>16808636</v>
      </c>
      <c r="C354">
        <v>16809097</v>
      </c>
      <c r="D354">
        <v>15238980</v>
      </c>
      <c r="E354">
        <v>1</v>
      </c>
      <c r="F354">
        <v>1</v>
      </c>
      <c r="G354">
        <v>1</v>
      </c>
      <c r="H354">
        <v>3</v>
      </c>
      <c r="I354" t="s">
        <v>545</v>
      </c>
      <c r="J354" t="s">
        <v>547</v>
      </c>
      <c r="K354" t="s">
        <v>546</v>
      </c>
      <c r="L354">
        <v>1354</v>
      </c>
      <c r="N354">
        <v>1010</v>
      </c>
      <c r="O354" t="s">
        <v>350</v>
      </c>
      <c r="P354" t="s">
        <v>350</v>
      </c>
      <c r="Q354">
        <v>1</v>
      </c>
      <c r="W354">
        <v>0</v>
      </c>
      <c r="X354">
        <v>-1744332854</v>
      </c>
      <c r="Y354">
        <v>0.222222</v>
      </c>
      <c r="AA354">
        <v>767.89</v>
      </c>
      <c r="AB354">
        <v>0</v>
      </c>
      <c r="AC354">
        <v>0</v>
      </c>
      <c r="AD354">
        <v>0</v>
      </c>
      <c r="AE354">
        <v>114.44</v>
      </c>
      <c r="AF354">
        <v>0</v>
      </c>
      <c r="AG354">
        <v>0</v>
      </c>
      <c r="AH354">
        <v>0</v>
      </c>
      <c r="AI354">
        <v>6.71</v>
      </c>
      <c r="AJ354">
        <v>1</v>
      </c>
      <c r="AK354">
        <v>1</v>
      </c>
      <c r="AL354">
        <v>1</v>
      </c>
      <c r="AN354">
        <v>0</v>
      </c>
      <c r="AO354">
        <v>0</v>
      </c>
      <c r="AP354">
        <v>0</v>
      </c>
      <c r="AQ354">
        <v>0</v>
      </c>
      <c r="AR354">
        <v>0</v>
      </c>
      <c r="AS354" t="s">
        <v>6</v>
      </c>
      <c r="AT354">
        <v>0.222222</v>
      </c>
      <c r="AU354" t="s">
        <v>6</v>
      </c>
      <c r="AV354">
        <v>0</v>
      </c>
      <c r="AW354">
        <v>1</v>
      </c>
      <c r="AX354">
        <v>-1</v>
      </c>
      <c r="AY354">
        <v>0</v>
      </c>
      <c r="AZ354">
        <v>0</v>
      </c>
      <c r="BA354" t="s">
        <v>6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Y354*Source!I210</f>
        <v>7.9999919999999998</v>
      </c>
      <c r="CY354">
        <f t="shared" si="61"/>
        <v>767.89</v>
      </c>
      <c r="CZ354">
        <f t="shared" si="62"/>
        <v>114.44</v>
      </c>
      <c r="DA354">
        <f t="shared" si="63"/>
        <v>6.71</v>
      </c>
      <c r="DB354">
        <f t="shared" si="64"/>
        <v>25.43</v>
      </c>
      <c r="DC354">
        <f t="shared" si="65"/>
        <v>0</v>
      </c>
    </row>
    <row r="355" spans="1:107" x14ac:dyDescent="0.2">
      <c r="A355">
        <f>ROW(Source!A210)</f>
        <v>210</v>
      </c>
      <c r="B355">
        <v>16808636</v>
      </c>
      <c r="C355">
        <v>16809097</v>
      </c>
      <c r="D355">
        <v>15164559</v>
      </c>
      <c r="E355">
        <v>17</v>
      </c>
      <c r="F355">
        <v>1</v>
      </c>
      <c r="G355">
        <v>1</v>
      </c>
      <c r="H355">
        <v>3</v>
      </c>
      <c r="I355" t="s">
        <v>736</v>
      </c>
      <c r="J355" t="s">
        <v>6</v>
      </c>
      <c r="K355" t="s">
        <v>737</v>
      </c>
      <c r="L355">
        <v>1374</v>
      </c>
      <c r="N355">
        <v>1013</v>
      </c>
      <c r="O355" t="s">
        <v>738</v>
      </c>
      <c r="P355" t="s">
        <v>738</v>
      </c>
      <c r="Q355">
        <v>1</v>
      </c>
      <c r="W355">
        <v>0</v>
      </c>
      <c r="X355">
        <v>-1731369543</v>
      </c>
      <c r="Y355">
        <v>0.3</v>
      </c>
      <c r="AA355">
        <v>1</v>
      </c>
      <c r="AB355">
        <v>0</v>
      </c>
      <c r="AC355">
        <v>0</v>
      </c>
      <c r="AD355">
        <v>0</v>
      </c>
      <c r="AE355">
        <v>1</v>
      </c>
      <c r="AF355">
        <v>0</v>
      </c>
      <c r="AG355">
        <v>0</v>
      </c>
      <c r="AH355">
        <v>0</v>
      </c>
      <c r="AI355">
        <v>1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6</v>
      </c>
      <c r="AT355">
        <v>0.3</v>
      </c>
      <c r="AU355" t="s">
        <v>6</v>
      </c>
      <c r="AV355">
        <v>0</v>
      </c>
      <c r="AW355">
        <v>2</v>
      </c>
      <c r="AX355">
        <v>16809131</v>
      </c>
      <c r="AY355">
        <v>1</v>
      </c>
      <c r="AZ355">
        <v>0</v>
      </c>
      <c r="BA355">
        <v>325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Y355*Source!I210</f>
        <v>10.799999999999999</v>
      </c>
      <c r="CY355">
        <f t="shared" si="61"/>
        <v>1</v>
      </c>
      <c r="CZ355">
        <f t="shared" si="62"/>
        <v>1</v>
      </c>
      <c r="DA355">
        <f t="shared" si="63"/>
        <v>1</v>
      </c>
      <c r="DB355">
        <f t="shared" si="64"/>
        <v>0.3</v>
      </c>
      <c r="DC355">
        <f t="shared" si="65"/>
        <v>0</v>
      </c>
    </row>
    <row r="356" spans="1:107" x14ac:dyDescent="0.2">
      <c r="A356">
        <f>ROW(Source!A248)</f>
        <v>248</v>
      </c>
      <c r="B356">
        <v>16808636</v>
      </c>
      <c r="C356">
        <v>16809264</v>
      </c>
      <c r="D356">
        <v>15885198</v>
      </c>
      <c r="E356">
        <v>1</v>
      </c>
      <c r="F356">
        <v>1</v>
      </c>
      <c r="G356">
        <v>1</v>
      </c>
      <c r="H356">
        <v>1</v>
      </c>
      <c r="I356" t="s">
        <v>982</v>
      </c>
      <c r="J356" t="s">
        <v>6</v>
      </c>
      <c r="K356" t="s">
        <v>983</v>
      </c>
      <c r="L356">
        <v>1191</v>
      </c>
      <c r="N356">
        <v>1013</v>
      </c>
      <c r="O356" t="s">
        <v>708</v>
      </c>
      <c r="P356" t="s">
        <v>708</v>
      </c>
      <c r="Q356">
        <v>1</v>
      </c>
      <c r="W356">
        <v>0</v>
      </c>
      <c r="X356">
        <v>-1166887252</v>
      </c>
      <c r="Y356">
        <v>0.128</v>
      </c>
      <c r="AA356">
        <v>0</v>
      </c>
      <c r="AB356">
        <v>0</v>
      </c>
      <c r="AC356">
        <v>0</v>
      </c>
      <c r="AD356">
        <v>86.69</v>
      </c>
      <c r="AE356">
        <v>0</v>
      </c>
      <c r="AF356">
        <v>0</v>
      </c>
      <c r="AG356">
        <v>0</v>
      </c>
      <c r="AH356">
        <v>12.92</v>
      </c>
      <c r="AI356">
        <v>1</v>
      </c>
      <c r="AJ356">
        <v>1</v>
      </c>
      <c r="AK356">
        <v>1</v>
      </c>
      <c r="AL356">
        <v>6.71</v>
      </c>
      <c r="AN356">
        <v>0</v>
      </c>
      <c r="AO356">
        <v>1</v>
      </c>
      <c r="AP356">
        <v>1</v>
      </c>
      <c r="AQ356">
        <v>0</v>
      </c>
      <c r="AR356">
        <v>0</v>
      </c>
      <c r="AS356" t="s">
        <v>6</v>
      </c>
      <c r="AT356">
        <v>0.16</v>
      </c>
      <c r="AU356" t="s">
        <v>82</v>
      </c>
      <c r="AV356">
        <v>1</v>
      </c>
      <c r="AW356">
        <v>2</v>
      </c>
      <c r="AX356">
        <v>16809267</v>
      </c>
      <c r="AY356">
        <v>1</v>
      </c>
      <c r="AZ356">
        <v>0</v>
      </c>
      <c r="BA356">
        <v>326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Y356*Source!I248</f>
        <v>5.3760000000000003</v>
      </c>
      <c r="CY356">
        <f t="shared" ref="CY356:CY363" si="66">AD356</f>
        <v>86.69</v>
      </c>
      <c r="CZ356">
        <f t="shared" ref="CZ356:CZ363" si="67">AH356</f>
        <v>12.92</v>
      </c>
      <c r="DA356">
        <f t="shared" ref="DA356:DA363" si="68">AL356</f>
        <v>6.71</v>
      </c>
      <c r="DB356">
        <f t="shared" ref="DB356:DB361" si="69">ROUND((ROUND(AT356*CZ356,2)*0.8),2)</f>
        <v>1.66</v>
      </c>
      <c r="DC356">
        <f t="shared" ref="DC356:DC361" si="70">ROUND((ROUND(AT356*AG356,2)*0.8),2)</f>
        <v>0</v>
      </c>
    </row>
    <row r="357" spans="1:107" x14ac:dyDescent="0.2">
      <c r="A357">
        <f>ROW(Source!A248)</f>
        <v>248</v>
      </c>
      <c r="B357">
        <v>16808636</v>
      </c>
      <c r="C357">
        <v>16809264</v>
      </c>
      <c r="D357">
        <v>15884235</v>
      </c>
      <c r="E357">
        <v>1</v>
      </c>
      <c r="F357">
        <v>1</v>
      </c>
      <c r="G357">
        <v>1</v>
      </c>
      <c r="H357">
        <v>1</v>
      </c>
      <c r="I357" t="s">
        <v>984</v>
      </c>
      <c r="J357" t="s">
        <v>6</v>
      </c>
      <c r="K357" t="s">
        <v>985</v>
      </c>
      <c r="L357">
        <v>1191</v>
      </c>
      <c r="N357">
        <v>1013</v>
      </c>
      <c r="O357" t="s">
        <v>708</v>
      </c>
      <c r="P357" t="s">
        <v>708</v>
      </c>
      <c r="Q357">
        <v>1</v>
      </c>
      <c r="W357">
        <v>0</v>
      </c>
      <c r="X357">
        <v>1776637054</v>
      </c>
      <c r="Y357">
        <v>0.128</v>
      </c>
      <c r="AA357">
        <v>0</v>
      </c>
      <c r="AB357">
        <v>0</v>
      </c>
      <c r="AC357">
        <v>0</v>
      </c>
      <c r="AD357">
        <v>85.15</v>
      </c>
      <c r="AE357">
        <v>0</v>
      </c>
      <c r="AF357">
        <v>0</v>
      </c>
      <c r="AG357">
        <v>0</v>
      </c>
      <c r="AH357">
        <v>12.69</v>
      </c>
      <c r="AI357">
        <v>1</v>
      </c>
      <c r="AJ357">
        <v>1</v>
      </c>
      <c r="AK357">
        <v>1</v>
      </c>
      <c r="AL357">
        <v>6.71</v>
      </c>
      <c r="AN357">
        <v>0</v>
      </c>
      <c r="AO357">
        <v>1</v>
      </c>
      <c r="AP357">
        <v>1</v>
      </c>
      <c r="AQ357">
        <v>0</v>
      </c>
      <c r="AR357">
        <v>0</v>
      </c>
      <c r="AS357" t="s">
        <v>6</v>
      </c>
      <c r="AT357">
        <v>0.16</v>
      </c>
      <c r="AU357" t="s">
        <v>82</v>
      </c>
      <c r="AV357">
        <v>1</v>
      </c>
      <c r="AW357">
        <v>2</v>
      </c>
      <c r="AX357">
        <v>16809268</v>
      </c>
      <c r="AY357">
        <v>1</v>
      </c>
      <c r="AZ357">
        <v>0</v>
      </c>
      <c r="BA357">
        <v>327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Y357*Source!I248</f>
        <v>5.3760000000000003</v>
      </c>
      <c r="CY357">
        <f t="shared" si="66"/>
        <v>85.15</v>
      </c>
      <c r="CZ357">
        <f t="shared" si="67"/>
        <v>12.69</v>
      </c>
      <c r="DA357">
        <f t="shared" si="68"/>
        <v>6.71</v>
      </c>
      <c r="DB357">
        <f t="shared" si="69"/>
        <v>1.62</v>
      </c>
      <c r="DC357">
        <f t="shared" si="70"/>
        <v>0</v>
      </c>
    </row>
    <row r="358" spans="1:107" x14ac:dyDescent="0.2">
      <c r="A358">
        <f>ROW(Source!A249)</f>
        <v>249</v>
      </c>
      <c r="B358">
        <v>16808636</v>
      </c>
      <c r="C358">
        <v>16809269</v>
      </c>
      <c r="D358">
        <v>15884231</v>
      </c>
      <c r="E358">
        <v>1</v>
      </c>
      <c r="F358">
        <v>1</v>
      </c>
      <c r="G358">
        <v>1</v>
      </c>
      <c r="H358">
        <v>1</v>
      </c>
      <c r="I358" t="s">
        <v>986</v>
      </c>
      <c r="J358" t="s">
        <v>6</v>
      </c>
      <c r="K358" t="s">
        <v>987</v>
      </c>
      <c r="L358">
        <v>1191</v>
      </c>
      <c r="N358">
        <v>1013</v>
      </c>
      <c r="O358" t="s">
        <v>708</v>
      </c>
      <c r="P358" t="s">
        <v>708</v>
      </c>
      <c r="Q358">
        <v>1</v>
      </c>
      <c r="W358">
        <v>0</v>
      </c>
      <c r="X358">
        <v>-1309109184</v>
      </c>
      <c r="Y358">
        <v>0.52</v>
      </c>
      <c r="AA358">
        <v>0</v>
      </c>
      <c r="AB358">
        <v>0</v>
      </c>
      <c r="AC358">
        <v>0</v>
      </c>
      <c r="AD358">
        <v>61.53</v>
      </c>
      <c r="AE358">
        <v>0</v>
      </c>
      <c r="AF358">
        <v>0</v>
      </c>
      <c r="AG358">
        <v>0</v>
      </c>
      <c r="AH358">
        <v>9.17</v>
      </c>
      <c r="AI358">
        <v>1</v>
      </c>
      <c r="AJ358">
        <v>1</v>
      </c>
      <c r="AK358">
        <v>1</v>
      </c>
      <c r="AL358">
        <v>6.71</v>
      </c>
      <c r="AN358">
        <v>0</v>
      </c>
      <c r="AO358">
        <v>1</v>
      </c>
      <c r="AP358">
        <v>1</v>
      </c>
      <c r="AQ358">
        <v>0</v>
      </c>
      <c r="AR358">
        <v>0</v>
      </c>
      <c r="AS358" t="s">
        <v>6</v>
      </c>
      <c r="AT358">
        <v>0.65</v>
      </c>
      <c r="AU358" t="s">
        <v>82</v>
      </c>
      <c r="AV358">
        <v>1</v>
      </c>
      <c r="AW358">
        <v>2</v>
      </c>
      <c r="AX358">
        <v>16809272</v>
      </c>
      <c r="AY358">
        <v>1</v>
      </c>
      <c r="AZ358">
        <v>0</v>
      </c>
      <c r="BA358">
        <v>328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Y358*Source!I249</f>
        <v>4.16</v>
      </c>
      <c r="CY358">
        <f t="shared" si="66"/>
        <v>61.53</v>
      </c>
      <c r="CZ358">
        <f t="shared" si="67"/>
        <v>9.17</v>
      </c>
      <c r="DA358">
        <f t="shared" si="68"/>
        <v>6.71</v>
      </c>
      <c r="DB358">
        <f t="shared" si="69"/>
        <v>4.7699999999999996</v>
      </c>
      <c r="DC358">
        <f t="shared" si="70"/>
        <v>0</v>
      </c>
    </row>
    <row r="359" spans="1:107" x14ac:dyDescent="0.2">
      <c r="A359">
        <f>ROW(Source!A249)</f>
        <v>249</v>
      </c>
      <c r="B359">
        <v>16808636</v>
      </c>
      <c r="C359">
        <v>16809269</v>
      </c>
      <c r="D359">
        <v>15884285</v>
      </c>
      <c r="E359">
        <v>1</v>
      </c>
      <c r="F359">
        <v>1</v>
      </c>
      <c r="G359">
        <v>1</v>
      </c>
      <c r="H359">
        <v>1</v>
      </c>
      <c r="I359" t="s">
        <v>988</v>
      </c>
      <c r="J359" t="s">
        <v>6</v>
      </c>
      <c r="K359" t="s">
        <v>989</v>
      </c>
      <c r="L359">
        <v>1191</v>
      </c>
      <c r="N359">
        <v>1013</v>
      </c>
      <c r="O359" t="s">
        <v>708</v>
      </c>
      <c r="P359" t="s">
        <v>708</v>
      </c>
      <c r="Q359">
        <v>1</v>
      </c>
      <c r="W359">
        <v>0</v>
      </c>
      <c r="X359">
        <v>1818203118</v>
      </c>
      <c r="Y359">
        <v>0.77600000000000002</v>
      </c>
      <c r="AA359">
        <v>0</v>
      </c>
      <c r="AB359">
        <v>0</v>
      </c>
      <c r="AC359">
        <v>0</v>
      </c>
      <c r="AD359">
        <v>94.54</v>
      </c>
      <c r="AE359">
        <v>0</v>
      </c>
      <c r="AF359">
        <v>0</v>
      </c>
      <c r="AG359">
        <v>0</v>
      </c>
      <c r="AH359">
        <v>14.09</v>
      </c>
      <c r="AI359">
        <v>1</v>
      </c>
      <c r="AJ359">
        <v>1</v>
      </c>
      <c r="AK359">
        <v>1</v>
      </c>
      <c r="AL359">
        <v>6.71</v>
      </c>
      <c r="AN359">
        <v>0</v>
      </c>
      <c r="AO359">
        <v>1</v>
      </c>
      <c r="AP359">
        <v>1</v>
      </c>
      <c r="AQ359">
        <v>0</v>
      </c>
      <c r="AR359">
        <v>0</v>
      </c>
      <c r="AS359" t="s">
        <v>6</v>
      </c>
      <c r="AT359">
        <v>0.97</v>
      </c>
      <c r="AU359" t="s">
        <v>82</v>
      </c>
      <c r="AV359">
        <v>1</v>
      </c>
      <c r="AW359">
        <v>2</v>
      </c>
      <c r="AX359">
        <v>16809273</v>
      </c>
      <c r="AY359">
        <v>1</v>
      </c>
      <c r="AZ359">
        <v>0</v>
      </c>
      <c r="BA359">
        <v>329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Y359*Source!I249</f>
        <v>6.2080000000000002</v>
      </c>
      <c r="CY359">
        <f t="shared" si="66"/>
        <v>94.54</v>
      </c>
      <c r="CZ359">
        <f t="shared" si="67"/>
        <v>14.09</v>
      </c>
      <c r="DA359">
        <f t="shared" si="68"/>
        <v>6.71</v>
      </c>
      <c r="DB359">
        <f t="shared" si="69"/>
        <v>10.94</v>
      </c>
      <c r="DC359">
        <f t="shared" si="70"/>
        <v>0</v>
      </c>
    </row>
    <row r="360" spans="1:107" x14ac:dyDescent="0.2">
      <c r="A360">
        <f>ROW(Source!A250)</f>
        <v>250</v>
      </c>
      <c r="B360">
        <v>16808636</v>
      </c>
      <c r="C360">
        <v>16809274</v>
      </c>
      <c r="D360">
        <v>15885198</v>
      </c>
      <c r="E360">
        <v>1</v>
      </c>
      <c r="F360">
        <v>1</v>
      </c>
      <c r="G360">
        <v>1</v>
      </c>
      <c r="H360">
        <v>1</v>
      </c>
      <c r="I360" t="s">
        <v>982</v>
      </c>
      <c r="J360" t="s">
        <v>6</v>
      </c>
      <c r="K360" t="s">
        <v>983</v>
      </c>
      <c r="L360">
        <v>1191</v>
      </c>
      <c r="N360">
        <v>1013</v>
      </c>
      <c r="O360" t="s">
        <v>708</v>
      </c>
      <c r="P360" t="s">
        <v>708</v>
      </c>
      <c r="Q360">
        <v>1</v>
      </c>
      <c r="W360">
        <v>0</v>
      </c>
      <c r="X360">
        <v>-1166887252</v>
      </c>
      <c r="Y360">
        <v>0.48799999999999999</v>
      </c>
      <c r="AA360">
        <v>0</v>
      </c>
      <c r="AB360">
        <v>0</v>
      </c>
      <c r="AC360">
        <v>0</v>
      </c>
      <c r="AD360">
        <v>86.69</v>
      </c>
      <c r="AE360">
        <v>0</v>
      </c>
      <c r="AF360">
        <v>0</v>
      </c>
      <c r="AG360">
        <v>0</v>
      </c>
      <c r="AH360">
        <v>12.92</v>
      </c>
      <c r="AI360">
        <v>1</v>
      </c>
      <c r="AJ360">
        <v>1</v>
      </c>
      <c r="AK360">
        <v>1</v>
      </c>
      <c r="AL360">
        <v>6.71</v>
      </c>
      <c r="AN360">
        <v>0</v>
      </c>
      <c r="AO360">
        <v>1</v>
      </c>
      <c r="AP360">
        <v>1</v>
      </c>
      <c r="AQ360">
        <v>0</v>
      </c>
      <c r="AR360">
        <v>0</v>
      </c>
      <c r="AS360" t="s">
        <v>6</v>
      </c>
      <c r="AT360">
        <v>0.61</v>
      </c>
      <c r="AU360" t="s">
        <v>82</v>
      </c>
      <c r="AV360">
        <v>1</v>
      </c>
      <c r="AW360">
        <v>2</v>
      </c>
      <c r="AX360">
        <v>16809277</v>
      </c>
      <c r="AY360">
        <v>1</v>
      </c>
      <c r="AZ360">
        <v>0</v>
      </c>
      <c r="BA360">
        <v>330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Y360*Source!I250</f>
        <v>35.135999999999996</v>
      </c>
      <c r="CY360">
        <f t="shared" si="66"/>
        <v>86.69</v>
      </c>
      <c r="CZ360">
        <f t="shared" si="67"/>
        <v>12.92</v>
      </c>
      <c r="DA360">
        <f t="shared" si="68"/>
        <v>6.71</v>
      </c>
      <c r="DB360">
        <f t="shared" si="69"/>
        <v>6.3</v>
      </c>
      <c r="DC360">
        <f t="shared" si="70"/>
        <v>0</v>
      </c>
    </row>
    <row r="361" spans="1:107" x14ac:dyDescent="0.2">
      <c r="A361">
        <f>ROW(Source!A250)</f>
        <v>250</v>
      </c>
      <c r="B361">
        <v>16808636</v>
      </c>
      <c r="C361">
        <v>16809274</v>
      </c>
      <c r="D361">
        <v>15884235</v>
      </c>
      <c r="E361">
        <v>1</v>
      </c>
      <c r="F361">
        <v>1</v>
      </c>
      <c r="G361">
        <v>1</v>
      </c>
      <c r="H361">
        <v>1</v>
      </c>
      <c r="I361" t="s">
        <v>984</v>
      </c>
      <c r="J361" t="s">
        <v>6</v>
      </c>
      <c r="K361" t="s">
        <v>985</v>
      </c>
      <c r="L361">
        <v>1191</v>
      </c>
      <c r="N361">
        <v>1013</v>
      </c>
      <c r="O361" t="s">
        <v>708</v>
      </c>
      <c r="P361" t="s">
        <v>708</v>
      </c>
      <c r="Q361">
        <v>1</v>
      </c>
      <c r="W361">
        <v>0</v>
      </c>
      <c r="X361">
        <v>1776637054</v>
      </c>
      <c r="Y361">
        <v>0.48799999999999999</v>
      </c>
      <c r="AA361">
        <v>0</v>
      </c>
      <c r="AB361">
        <v>0</v>
      </c>
      <c r="AC361">
        <v>0</v>
      </c>
      <c r="AD361">
        <v>85.15</v>
      </c>
      <c r="AE361">
        <v>0</v>
      </c>
      <c r="AF361">
        <v>0</v>
      </c>
      <c r="AG361">
        <v>0</v>
      </c>
      <c r="AH361">
        <v>12.69</v>
      </c>
      <c r="AI361">
        <v>1</v>
      </c>
      <c r="AJ361">
        <v>1</v>
      </c>
      <c r="AK361">
        <v>1</v>
      </c>
      <c r="AL361">
        <v>6.71</v>
      </c>
      <c r="AN361">
        <v>0</v>
      </c>
      <c r="AO361">
        <v>1</v>
      </c>
      <c r="AP361">
        <v>1</v>
      </c>
      <c r="AQ361">
        <v>0</v>
      </c>
      <c r="AR361">
        <v>0</v>
      </c>
      <c r="AS361" t="s">
        <v>6</v>
      </c>
      <c r="AT361">
        <v>0.61</v>
      </c>
      <c r="AU361" t="s">
        <v>82</v>
      </c>
      <c r="AV361">
        <v>1</v>
      </c>
      <c r="AW361">
        <v>2</v>
      </c>
      <c r="AX361">
        <v>16809278</v>
      </c>
      <c r="AY361">
        <v>1</v>
      </c>
      <c r="AZ361">
        <v>0</v>
      </c>
      <c r="BA361">
        <v>331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Y361*Source!I250</f>
        <v>35.135999999999996</v>
      </c>
      <c r="CY361">
        <f t="shared" si="66"/>
        <v>85.15</v>
      </c>
      <c r="CZ361">
        <f t="shared" si="67"/>
        <v>12.69</v>
      </c>
      <c r="DA361">
        <f t="shared" si="68"/>
        <v>6.71</v>
      </c>
      <c r="DB361">
        <f t="shared" si="69"/>
        <v>6.19</v>
      </c>
      <c r="DC361">
        <f t="shared" si="70"/>
        <v>0</v>
      </c>
    </row>
    <row r="362" spans="1:107" x14ac:dyDescent="0.2">
      <c r="A362">
        <f>ROW(Source!A285)</f>
        <v>285</v>
      </c>
      <c r="B362">
        <v>16808636</v>
      </c>
      <c r="C362">
        <v>16809135</v>
      </c>
      <c r="D362">
        <v>15436556</v>
      </c>
      <c r="E362">
        <v>1</v>
      </c>
      <c r="F362">
        <v>1</v>
      </c>
      <c r="G362">
        <v>1</v>
      </c>
      <c r="H362">
        <v>1</v>
      </c>
      <c r="I362" t="s">
        <v>748</v>
      </c>
      <c r="J362" t="s">
        <v>6</v>
      </c>
      <c r="K362" t="s">
        <v>749</v>
      </c>
      <c r="L362">
        <v>1191</v>
      </c>
      <c r="N362">
        <v>1013</v>
      </c>
      <c r="O362" t="s">
        <v>708</v>
      </c>
      <c r="P362" t="s">
        <v>708</v>
      </c>
      <c r="Q362">
        <v>1</v>
      </c>
      <c r="W362">
        <v>0</v>
      </c>
      <c r="X362">
        <v>1069510174</v>
      </c>
      <c r="Y362">
        <v>10.788</v>
      </c>
      <c r="AA362">
        <v>0</v>
      </c>
      <c r="AB362">
        <v>0</v>
      </c>
      <c r="AC362">
        <v>0</v>
      </c>
      <c r="AD362">
        <v>64.55</v>
      </c>
      <c r="AE362">
        <v>0</v>
      </c>
      <c r="AF362">
        <v>0</v>
      </c>
      <c r="AG362">
        <v>0</v>
      </c>
      <c r="AH362">
        <v>9.6199999999999992</v>
      </c>
      <c r="AI362">
        <v>1</v>
      </c>
      <c r="AJ362">
        <v>1</v>
      </c>
      <c r="AK362">
        <v>1</v>
      </c>
      <c r="AL362">
        <v>6.71</v>
      </c>
      <c r="AN362">
        <v>0</v>
      </c>
      <c r="AO362">
        <v>1</v>
      </c>
      <c r="AP362">
        <v>1</v>
      </c>
      <c r="AQ362">
        <v>0</v>
      </c>
      <c r="AR362">
        <v>0</v>
      </c>
      <c r="AS362" t="s">
        <v>6</v>
      </c>
      <c r="AT362">
        <v>8.99</v>
      </c>
      <c r="AU362" t="s">
        <v>443</v>
      </c>
      <c r="AV362">
        <v>1</v>
      </c>
      <c r="AW362">
        <v>2</v>
      </c>
      <c r="AX362">
        <v>16809148</v>
      </c>
      <c r="AY362">
        <v>1</v>
      </c>
      <c r="AZ362">
        <v>0</v>
      </c>
      <c r="BA362">
        <v>332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Y362*Source!I285</f>
        <v>3.2364000000000002</v>
      </c>
      <c r="CY362">
        <f t="shared" si="66"/>
        <v>64.55</v>
      </c>
      <c r="CZ362">
        <f t="shared" si="67"/>
        <v>9.6199999999999992</v>
      </c>
      <c r="DA362">
        <f t="shared" si="68"/>
        <v>6.71</v>
      </c>
      <c r="DB362">
        <f>ROUND((ROUND(AT362*CZ362,2)*1.2),2)</f>
        <v>103.78</v>
      </c>
      <c r="DC362">
        <f>ROUND((ROUND(AT362*AG362,2)*1.2),2)</f>
        <v>0</v>
      </c>
    </row>
    <row r="363" spans="1:107" x14ac:dyDescent="0.2">
      <c r="A363">
        <f>ROW(Source!A285)</f>
        <v>285</v>
      </c>
      <c r="B363">
        <v>16808636</v>
      </c>
      <c r="C363">
        <v>16809135</v>
      </c>
      <c r="D363">
        <v>15430395</v>
      </c>
      <c r="E363">
        <v>1</v>
      </c>
      <c r="F363">
        <v>1</v>
      </c>
      <c r="G363">
        <v>1</v>
      </c>
      <c r="H363">
        <v>1</v>
      </c>
      <c r="I363" t="s">
        <v>709</v>
      </c>
      <c r="J363" t="s">
        <v>6</v>
      </c>
      <c r="K363" t="s">
        <v>710</v>
      </c>
      <c r="L363">
        <v>1191</v>
      </c>
      <c r="N363">
        <v>1013</v>
      </c>
      <c r="O363" t="s">
        <v>708</v>
      </c>
      <c r="P363" t="s">
        <v>708</v>
      </c>
      <c r="Q363">
        <v>1</v>
      </c>
      <c r="W363">
        <v>0</v>
      </c>
      <c r="X363">
        <v>-1417349443</v>
      </c>
      <c r="Y363">
        <v>0.21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1</v>
      </c>
      <c r="AJ363">
        <v>1</v>
      </c>
      <c r="AK363">
        <v>6.71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6</v>
      </c>
      <c r="AT363">
        <v>0.21</v>
      </c>
      <c r="AU363" t="s">
        <v>6</v>
      </c>
      <c r="AV363">
        <v>2</v>
      </c>
      <c r="AW363">
        <v>2</v>
      </c>
      <c r="AX363">
        <v>16809149</v>
      </c>
      <c r="AY363">
        <v>1</v>
      </c>
      <c r="AZ363">
        <v>2048</v>
      </c>
      <c r="BA363">
        <v>333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Y363*Source!I285</f>
        <v>6.3E-2</v>
      </c>
      <c r="CY363">
        <f t="shared" si="66"/>
        <v>0</v>
      </c>
      <c r="CZ363">
        <f t="shared" si="67"/>
        <v>0</v>
      </c>
      <c r="DA363">
        <f t="shared" si="68"/>
        <v>1</v>
      </c>
      <c r="DB363">
        <f>ROUND(ROUND(AT363*CZ363,2),2)</f>
        <v>0</v>
      </c>
      <c r="DC363">
        <f>ROUND(ROUND(AT363*AG363,2),2)</f>
        <v>0</v>
      </c>
    </row>
    <row r="364" spans="1:107" x14ac:dyDescent="0.2">
      <c r="A364">
        <f>ROW(Source!A285)</f>
        <v>285</v>
      </c>
      <c r="B364">
        <v>16808636</v>
      </c>
      <c r="C364">
        <v>16809135</v>
      </c>
      <c r="D364">
        <v>15247974</v>
      </c>
      <c r="E364">
        <v>1</v>
      </c>
      <c r="F364">
        <v>1</v>
      </c>
      <c r="G364">
        <v>1</v>
      </c>
      <c r="H364">
        <v>2</v>
      </c>
      <c r="I364" t="s">
        <v>711</v>
      </c>
      <c r="J364" t="s">
        <v>712</v>
      </c>
      <c r="K364" t="s">
        <v>713</v>
      </c>
      <c r="L364">
        <v>1368</v>
      </c>
      <c r="N364">
        <v>1011</v>
      </c>
      <c r="O364" t="s">
        <v>714</v>
      </c>
      <c r="P364" t="s">
        <v>714</v>
      </c>
      <c r="Q364">
        <v>1</v>
      </c>
      <c r="W364">
        <v>0</v>
      </c>
      <c r="X364">
        <v>1188625873</v>
      </c>
      <c r="Y364">
        <v>8.4000000000000005E-2</v>
      </c>
      <c r="AA364">
        <v>0</v>
      </c>
      <c r="AB364">
        <v>209.75</v>
      </c>
      <c r="AC364">
        <v>13.5</v>
      </c>
      <c r="AD364">
        <v>0</v>
      </c>
      <c r="AE364">
        <v>0</v>
      </c>
      <c r="AF364">
        <v>31.26</v>
      </c>
      <c r="AG364">
        <v>13.5</v>
      </c>
      <c r="AH364">
        <v>0</v>
      </c>
      <c r="AI364">
        <v>1</v>
      </c>
      <c r="AJ364">
        <v>6.71</v>
      </c>
      <c r="AK364">
        <v>1</v>
      </c>
      <c r="AL364">
        <v>1</v>
      </c>
      <c r="AN364">
        <v>0</v>
      </c>
      <c r="AO364">
        <v>1</v>
      </c>
      <c r="AP364">
        <v>1</v>
      </c>
      <c r="AQ364">
        <v>0</v>
      </c>
      <c r="AR364">
        <v>0</v>
      </c>
      <c r="AS364" t="s">
        <v>6</v>
      </c>
      <c r="AT364">
        <v>7.0000000000000007E-2</v>
      </c>
      <c r="AU364" t="s">
        <v>443</v>
      </c>
      <c r="AV364">
        <v>0</v>
      </c>
      <c r="AW364">
        <v>2</v>
      </c>
      <c r="AX364">
        <v>16809150</v>
      </c>
      <c r="AY364">
        <v>1</v>
      </c>
      <c r="AZ364">
        <v>0</v>
      </c>
      <c r="BA364">
        <v>334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Y364*Source!I285</f>
        <v>2.52E-2</v>
      </c>
      <c r="CY364">
        <f>AB364</f>
        <v>209.75</v>
      </c>
      <c r="CZ364">
        <f>AF364</f>
        <v>31.26</v>
      </c>
      <c r="DA364">
        <f>AJ364</f>
        <v>6.71</v>
      </c>
      <c r="DB364">
        <f>ROUND((ROUND(AT364*CZ364,2)*1.2),2)</f>
        <v>2.63</v>
      </c>
      <c r="DC364">
        <f>ROUND((ROUND(AT364*AG364,2)*1.2),2)</f>
        <v>1.1399999999999999</v>
      </c>
    </row>
    <row r="365" spans="1:107" x14ac:dyDescent="0.2">
      <c r="A365">
        <f>ROW(Source!A285)</f>
        <v>285</v>
      </c>
      <c r="B365">
        <v>16808636</v>
      </c>
      <c r="C365">
        <v>16809135</v>
      </c>
      <c r="D365">
        <v>15249073</v>
      </c>
      <c r="E365">
        <v>1</v>
      </c>
      <c r="F365">
        <v>1</v>
      </c>
      <c r="G365">
        <v>1</v>
      </c>
      <c r="H365">
        <v>2</v>
      </c>
      <c r="I365" t="s">
        <v>724</v>
      </c>
      <c r="J365" t="s">
        <v>725</v>
      </c>
      <c r="K365" t="s">
        <v>726</v>
      </c>
      <c r="L365">
        <v>1368</v>
      </c>
      <c r="N365">
        <v>1011</v>
      </c>
      <c r="O365" t="s">
        <v>714</v>
      </c>
      <c r="P365" t="s">
        <v>714</v>
      </c>
      <c r="Q365">
        <v>1</v>
      </c>
      <c r="W365">
        <v>0</v>
      </c>
      <c r="X365">
        <v>1372534845</v>
      </c>
      <c r="Y365">
        <v>0.16800000000000001</v>
      </c>
      <c r="AA365">
        <v>0</v>
      </c>
      <c r="AB365">
        <v>440.91</v>
      </c>
      <c r="AC365">
        <v>11.6</v>
      </c>
      <c r="AD365">
        <v>0</v>
      </c>
      <c r="AE365">
        <v>0</v>
      </c>
      <c r="AF365">
        <v>65.709999999999994</v>
      </c>
      <c r="AG365">
        <v>11.6</v>
      </c>
      <c r="AH365">
        <v>0</v>
      </c>
      <c r="AI365">
        <v>1</v>
      </c>
      <c r="AJ365">
        <v>6.71</v>
      </c>
      <c r="AK365">
        <v>1</v>
      </c>
      <c r="AL365">
        <v>1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6</v>
      </c>
      <c r="AT365">
        <v>0.14000000000000001</v>
      </c>
      <c r="AU365" t="s">
        <v>443</v>
      </c>
      <c r="AV365">
        <v>0</v>
      </c>
      <c r="AW365">
        <v>2</v>
      </c>
      <c r="AX365">
        <v>16809151</v>
      </c>
      <c r="AY365">
        <v>1</v>
      </c>
      <c r="AZ365">
        <v>0</v>
      </c>
      <c r="BA365">
        <v>335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Y365*Source!I285</f>
        <v>5.04E-2</v>
      </c>
      <c r="CY365">
        <f>AB365</f>
        <v>440.91</v>
      </c>
      <c r="CZ365">
        <f>AF365</f>
        <v>65.709999999999994</v>
      </c>
      <c r="DA365">
        <f>AJ365</f>
        <v>6.71</v>
      </c>
      <c r="DB365">
        <f>ROUND((ROUND(AT365*CZ365,2)*1.2),2)</f>
        <v>11.04</v>
      </c>
      <c r="DC365">
        <f>ROUND((ROUND(AT365*AG365,2)*1.2),2)</f>
        <v>1.94</v>
      </c>
    </row>
    <row r="366" spans="1:107" x14ac:dyDescent="0.2">
      <c r="A366">
        <f>ROW(Source!A285)</f>
        <v>285</v>
      </c>
      <c r="B366">
        <v>16808636</v>
      </c>
      <c r="C366">
        <v>16809135</v>
      </c>
      <c r="D366">
        <v>15167955</v>
      </c>
      <c r="E366">
        <v>1</v>
      </c>
      <c r="F366">
        <v>1</v>
      </c>
      <c r="G366">
        <v>1</v>
      </c>
      <c r="H366">
        <v>3</v>
      </c>
      <c r="I366" t="s">
        <v>990</v>
      </c>
      <c r="J366" t="s">
        <v>991</v>
      </c>
      <c r="K366" t="s">
        <v>992</v>
      </c>
      <c r="L366">
        <v>1348</v>
      </c>
      <c r="N366">
        <v>1009</v>
      </c>
      <c r="O366" t="s">
        <v>104</v>
      </c>
      <c r="P366" t="s">
        <v>104</v>
      </c>
      <c r="Q366">
        <v>1000</v>
      </c>
      <c r="W366">
        <v>0</v>
      </c>
      <c r="X366">
        <v>-1699345571</v>
      </c>
      <c r="Y366">
        <v>1.4E-3</v>
      </c>
      <c r="AA366">
        <v>201501.3</v>
      </c>
      <c r="AB366">
        <v>0</v>
      </c>
      <c r="AC366">
        <v>0</v>
      </c>
      <c r="AD366">
        <v>0</v>
      </c>
      <c r="AE366">
        <v>30030</v>
      </c>
      <c r="AF366">
        <v>0</v>
      </c>
      <c r="AG366">
        <v>0</v>
      </c>
      <c r="AH366">
        <v>0</v>
      </c>
      <c r="AI366">
        <v>6.71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6</v>
      </c>
      <c r="AT366">
        <v>1.4E-3</v>
      </c>
      <c r="AU366" t="s">
        <v>6</v>
      </c>
      <c r="AV366">
        <v>0</v>
      </c>
      <c r="AW366">
        <v>2</v>
      </c>
      <c r="AX366">
        <v>16809152</v>
      </c>
      <c r="AY366">
        <v>1</v>
      </c>
      <c r="AZ366">
        <v>0</v>
      </c>
      <c r="BA366">
        <v>336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Y366*Source!I285</f>
        <v>4.1999999999999996E-4</v>
      </c>
      <c r="CY366">
        <f t="shared" ref="CY366:CY372" si="71">AA366</f>
        <v>201501.3</v>
      </c>
      <c r="CZ366">
        <f t="shared" ref="CZ366:CZ372" si="72">AE366</f>
        <v>30030</v>
      </c>
      <c r="DA366">
        <f t="shared" ref="DA366:DA372" si="73">AI366</f>
        <v>6.71</v>
      </c>
      <c r="DB366">
        <f t="shared" ref="DB366:DB372" si="74">ROUND(ROUND(AT366*CZ366,2),2)</f>
        <v>42.04</v>
      </c>
      <c r="DC366">
        <f t="shared" ref="DC366:DC372" si="75">ROUND(ROUND(AT366*AG366,2),2)</f>
        <v>0</v>
      </c>
    </row>
    <row r="367" spans="1:107" x14ac:dyDescent="0.2">
      <c r="A367">
        <f>ROW(Source!A285)</f>
        <v>285</v>
      </c>
      <c r="B367">
        <v>16808636</v>
      </c>
      <c r="C367">
        <v>16809135</v>
      </c>
      <c r="D367">
        <v>15167963</v>
      </c>
      <c r="E367">
        <v>1</v>
      </c>
      <c r="F367">
        <v>1</v>
      </c>
      <c r="G367">
        <v>1</v>
      </c>
      <c r="H367">
        <v>3</v>
      </c>
      <c r="I367" t="s">
        <v>993</v>
      </c>
      <c r="J367" t="s">
        <v>994</v>
      </c>
      <c r="K367" t="s">
        <v>995</v>
      </c>
      <c r="L367">
        <v>1346</v>
      </c>
      <c r="N367">
        <v>1009</v>
      </c>
      <c r="O367" t="s">
        <v>300</v>
      </c>
      <c r="P367" t="s">
        <v>300</v>
      </c>
      <c r="Q367">
        <v>1</v>
      </c>
      <c r="W367">
        <v>0</v>
      </c>
      <c r="X367">
        <v>-490687590</v>
      </c>
      <c r="Y367">
        <v>0.02</v>
      </c>
      <c r="AA367">
        <v>250.22</v>
      </c>
      <c r="AB367">
        <v>0</v>
      </c>
      <c r="AC367">
        <v>0</v>
      </c>
      <c r="AD367">
        <v>0</v>
      </c>
      <c r="AE367">
        <v>37.29</v>
      </c>
      <c r="AF367">
        <v>0</v>
      </c>
      <c r="AG367">
        <v>0</v>
      </c>
      <c r="AH367">
        <v>0</v>
      </c>
      <c r="AI367">
        <v>6.71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6</v>
      </c>
      <c r="AT367">
        <v>0.02</v>
      </c>
      <c r="AU367" t="s">
        <v>6</v>
      </c>
      <c r="AV367">
        <v>0</v>
      </c>
      <c r="AW367">
        <v>2</v>
      </c>
      <c r="AX367">
        <v>16809153</v>
      </c>
      <c r="AY367">
        <v>1</v>
      </c>
      <c r="AZ367">
        <v>0</v>
      </c>
      <c r="BA367">
        <v>337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Y367*Source!I285</f>
        <v>6.0000000000000001E-3</v>
      </c>
      <c r="CY367">
        <f t="shared" si="71"/>
        <v>250.22</v>
      </c>
      <c r="CZ367">
        <f t="shared" si="72"/>
        <v>37.29</v>
      </c>
      <c r="DA367">
        <f t="shared" si="73"/>
        <v>6.71</v>
      </c>
      <c r="DB367">
        <f t="shared" si="74"/>
        <v>0.75</v>
      </c>
      <c r="DC367">
        <f t="shared" si="75"/>
        <v>0</v>
      </c>
    </row>
    <row r="368" spans="1:107" x14ac:dyDescent="0.2">
      <c r="A368">
        <f>ROW(Source!A285)</f>
        <v>285</v>
      </c>
      <c r="B368">
        <v>16808636</v>
      </c>
      <c r="C368">
        <v>16809135</v>
      </c>
      <c r="D368">
        <v>15172117</v>
      </c>
      <c r="E368">
        <v>1</v>
      </c>
      <c r="F368">
        <v>1</v>
      </c>
      <c r="G368">
        <v>1</v>
      </c>
      <c r="H368">
        <v>3</v>
      </c>
      <c r="I368" t="s">
        <v>996</v>
      </c>
      <c r="J368" t="s">
        <v>997</v>
      </c>
      <c r="K368" t="s">
        <v>998</v>
      </c>
      <c r="L368">
        <v>1348</v>
      </c>
      <c r="N368">
        <v>1009</v>
      </c>
      <c r="O368" t="s">
        <v>104</v>
      </c>
      <c r="P368" t="s">
        <v>104</v>
      </c>
      <c r="Q368">
        <v>1000</v>
      </c>
      <c r="W368">
        <v>0</v>
      </c>
      <c r="X368">
        <v>1529337430</v>
      </c>
      <c r="Y368">
        <v>2E-3</v>
      </c>
      <c r="AA368">
        <v>12319.56</v>
      </c>
      <c r="AB368">
        <v>0</v>
      </c>
      <c r="AC368">
        <v>0</v>
      </c>
      <c r="AD368">
        <v>0</v>
      </c>
      <c r="AE368">
        <v>1836</v>
      </c>
      <c r="AF368">
        <v>0</v>
      </c>
      <c r="AG368">
        <v>0</v>
      </c>
      <c r="AH368">
        <v>0</v>
      </c>
      <c r="AI368">
        <v>6.71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2E-3</v>
      </c>
      <c r="AU368" t="s">
        <v>6</v>
      </c>
      <c r="AV368">
        <v>0</v>
      </c>
      <c r="AW368">
        <v>2</v>
      </c>
      <c r="AX368">
        <v>16809156</v>
      </c>
      <c r="AY368">
        <v>1</v>
      </c>
      <c r="AZ368">
        <v>0</v>
      </c>
      <c r="BA368">
        <v>340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Y368*Source!I285</f>
        <v>5.9999999999999995E-4</v>
      </c>
      <c r="CY368">
        <f t="shared" si="71"/>
        <v>12319.56</v>
      </c>
      <c r="CZ368">
        <f t="shared" si="72"/>
        <v>1836</v>
      </c>
      <c r="DA368">
        <f t="shared" si="73"/>
        <v>6.71</v>
      </c>
      <c r="DB368">
        <f t="shared" si="74"/>
        <v>3.67</v>
      </c>
      <c r="DC368">
        <f t="shared" si="75"/>
        <v>0</v>
      </c>
    </row>
    <row r="369" spans="1:107" x14ac:dyDescent="0.2">
      <c r="A369">
        <f>ROW(Source!A285)</f>
        <v>285</v>
      </c>
      <c r="B369">
        <v>16808636</v>
      </c>
      <c r="C369">
        <v>16809135</v>
      </c>
      <c r="D369">
        <v>15203740</v>
      </c>
      <c r="E369">
        <v>1</v>
      </c>
      <c r="F369">
        <v>1</v>
      </c>
      <c r="G369">
        <v>1</v>
      </c>
      <c r="H369">
        <v>3</v>
      </c>
      <c r="I369" t="s">
        <v>999</v>
      </c>
      <c r="J369" t="s">
        <v>1000</v>
      </c>
      <c r="K369" t="s">
        <v>1001</v>
      </c>
      <c r="L369">
        <v>1348</v>
      </c>
      <c r="N369">
        <v>1009</v>
      </c>
      <c r="O369" t="s">
        <v>104</v>
      </c>
      <c r="P369" t="s">
        <v>104</v>
      </c>
      <c r="Q369">
        <v>1000</v>
      </c>
      <c r="W369">
        <v>0</v>
      </c>
      <c r="X369">
        <v>570223526</v>
      </c>
      <c r="Y369">
        <v>4.0000000000000002E-4</v>
      </c>
      <c r="AA369">
        <v>101448.49</v>
      </c>
      <c r="AB369">
        <v>0</v>
      </c>
      <c r="AC369">
        <v>0</v>
      </c>
      <c r="AD369">
        <v>0</v>
      </c>
      <c r="AE369">
        <v>15119</v>
      </c>
      <c r="AF369">
        <v>0</v>
      </c>
      <c r="AG369">
        <v>0</v>
      </c>
      <c r="AH369">
        <v>0</v>
      </c>
      <c r="AI369">
        <v>6.71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6</v>
      </c>
      <c r="AT369">
        <v>4.0000000000000002E-4</v>
      </c>
      <c r="AU369" t="s">
        <v>6</v>
      </c>
      <c r="AV369">
        <v>0</v>
      </c>
      <c r="AW369">
        <v>2</v>
      </c>
      <c r="AX369">
        <v>16809157</v>
      </c>
      <c r="AY369">
        <v>1</v>
      </c>
      <c r="AZ369">
        <v>0</v>
      </c>
      <c r="BA369">
        <v>341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Y369*Source!I285</f>
        <v>1.2E-4</v>
      </c>
      <c r="CY369">
        <f t="shared" si="71"/>
        <v>101448.49</v>
      </c>
      <c r="CZ369">
        <f t="shared" si="72"/>
        <v>15119</v>
      </c>
      <c r="DA369">
        <f t="shared" si="73"/>
        <v>6.71</v>
      </c>
      <c r="DB369">
        <f t="shared" si="74"/>
        <v>6.05</v>
      </c>
      <c r="DC369">
        <f t="shared" si="75"/>
        <v>0</v>
      </c>
    </row>
    <row r="370" spans="1:107" x14ac:dyDescent="0.2">
      <c r="A370">
        <f>ROW(Source!A285)</f>
        <v>285</v>
      </c>
      <c r="B370">
        <v>16808636</v>
      </c>
      <c r="C370">
        <v>16809135</v>
      </c>
      <c r="D370">
        <v>15204468</v>
      </c>
      <c r="E370">
        <v>1</v>
      </c>
      <c r="F370">
        <v>1</v>
      </c>
      <c r="G370">
        <v>1</v>
      </c>
      <c r="H370">
        <v>3</v>
      </c>
      <c r="I370" t="s">
        <v>912</v>
      </c>
      <c r="J370" t="s">
        <v>913</v>
      </c>
      <c r="K370" t="s">
        <v>914</v>
      </c>
      <c r="L370">
        <v>1348</v>
      </c>
      <c r="N370">
        <v>1009</v>
      </c>
      <c r="O370" t="s">
        <v>104</v>
      </c>
      <c r="P370" t="s">
        <v>104</v>
      </c>
      <c r="Q370">
        <v>1000</v>
      </c>
      <c r="W370">
        <v>0</v>
      </c>
      <c r="X370">
        <v>-909021926</v>
      </c>
      <c r="Y370">
        <v>2.0000000000000001E-4</v>
      </c>
      <c r="AA370">
        <v>113734.5</v>
      </c>
      <c r="AB370">
        <v>0</v>
      </c>
      <c r="AC370">
        <v>0</v>
      </c>
      <c r="AD370">
        <v>0</v>
      </c>
      <c r="AE370">
        <v>16950</v>
      </c>
      <c r="AF370">
        <v>0</v>
      </c>
      <c r="AG370">
        <v>0</v>
      </c>
      <c r="AH370">
        <v>0</v>
      </c>
      <c r="AI370">
        <v>6.71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6</v>
      </c>
      <c r="AT370">
        <v>2.0000000000000001E-4</v>
      </c>
      <c r="AU370" t="s">
        <v>6</v>
      </c>
      <c r="AV370">
        <v>0</v>
      </c>
      <c r="AW370">
        <v>2</v>
      </c>
      <c r="AX370">
        <v>16809159</v>
      </c>
      <c r="AY370">
        <v>1</v>
      </c>
      <c r="AZ370">
        <v>0</v>
      </c>
      <c r="BA370">
        <v>343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Y370*Source!I285</f>
        <v>6.0000000000000002E-5</v>
      </c>
      <c r="CY370">
        <f t="shared" si="71"/>
        <v>113734.5</v>
      </c>
      <c r="CZ370">
        <f t="shared" si="72"/>
        <v>16950</v>
      </c>
      <c r="DA370">
        <f t="shared" si="73"/>
        <v>6.71</v>
      </c>
      <c r="DB370">
        <f t="shared" si="74"/>
        <v>3.39</v>
      </c>
      <c r="DC370">
        <f t="shared" si="75"/>
        <v>0</v>
      </c>
    </row>
    <row r="371" spans="1:107" x14ac:dyDescent="0.2">
      <c r="A371">
        <f>ROW(Source!A285)</f>
        <v>285</v>
      </c>
      <c r="B371">
        <v>16808636</v>
      </c>
      <c r="C371">
        <v>16809135</v>
      </c>
      <c r="D371">
        <v>15211600</v>
      </c>
      <c r="E371">
        <v>1</v>
      </c>
      <c r="F371">
        <v>1</v>
      </c>
      <c r="G371">
        <v>1</v>
      </c>
      <c r="H371">
        <v>3</v>
      </c>
      <c r="I371" t="s">
        <v>585</v>
      </c>
      <c r="J371" t="s">
        <v>587</v>
      </c>
      <c r="K371" t="s">
        <v>586</v>
      </c>
      <c r="L371">
        <v>1035</v>
      </c>
      <c r="N371">
        <v>1013</v>
      </c>
      <c r="O371" t="s">
        <v>182</v>
      </c>
      <c r="P371" t="s">
        <v>182</v>
      </c>
      <c r="Q371">
        <v>1</v>
      </c>
      <c r="W371">
        <v>0</v>
      </c>
      <c r="X371">
        <v>473476463</v>
      </c>
      <c r="Y371">
        <v>10</v>
      </c>
      <c r="AA371">
        <v>2176.66</v>
      </c>
      <c r="AB371">
        <v>0</v>
      </c>
      <c r="AC371">
        <v>0</v>
      </c>
      <c r="AD371">
        <v>0</v>
      </c>
      <c r="AE371">
        <v>324.39</v>
      </c>
      <c r="AF371">
        <v>0</v>
      </c>
      <c r="AG371">
        <v>0</v>
      </c>
      <c r="AH371">
        <v>0</v>
      </c>
      <c r="AI371">
        <v>6.71</v>
      </c>
      <c r="AJ371">
        <v>1</v>
      </c>
      <c r="AK371">
        <v>1</v>
      </c>
      <c r="AL371">
        <v>1</v>
      </c>
      <c r="AN371">
        <v>0</v>
      </c>
      <c r="AO371">
        <v>0</v>
      </c>
      <c r="AP371">
        <v>0</v>
      </c>
      <c r="AQ371">
        <v>0</v>
      </c>
      <c r="AR371">
        <v>0</v>
      </c>
      <c r="AS371" t="s">
        <v>6</v>
      </c>
      <c r="AT371">
        <v>10</v>
      </c>
      <c r="AU371" t="s">
        <v>6</v>
      </c>
      <c r="AV371">
        <v>0</v>
      </c>
      <c r="AW371">
        <v>1</v>
      </c>
      <c r="AX371">
        <v>-1</v>
      </c>
      <c r="AY371">
        <v>0</v>
      </c>
      <c r="AZ371">
        <v>0</v>
      </c>
      <c r="BA371" t="s">
        <v>6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Y371*Source!I285</f>
        <v>3</v>
      </c>
      <c r="CY371">
        <f t="shared" si="71"/>
        <v>2176.66</v>
      </c>
      <c r="CZ371">
        <f t="shared" si="72"/>
        <v>324.39</v>
      </c>
      <c r="DA371">
        <f t="shared" si="73"/>
        <v>6.71</v>
      </c>
      <c r="DB371">
        <f t="shared" si="74"/>
        <v>3243.9</v>
      </c>
      <c r="DC371">
        <f t="shared" si="75"/>
        <v>0</v>
      </c>
    </row>
    <row r="372" spans="1:107" x14ac:dyDescent="0.2">
      <c r="A372">
        <f>ROW(Source!A285)</f>
        <v>285</v>
      </c>
      <c r="B372">
        <v>16808636</v>
      </c>
      <c r="C372">
        <v>16809135</v>
      </c>
      <c r="D372">
        <v>15161722</v>
      </c>
      <c r="E372">
        <v>17</v>
      </c>
      <c r="F372">
        <v>1</v>
      </c>
      <c r="G372">
        <v>1</v>
      </c>
      <c r="H372">
        <v>3</v>
      </c>
      <c r="I372" t="s">
        <v>589</v>
      </c>
      <c r="J372" t="s">
        <v>6</v>
      </c>
      <c r="K372" t="s">
        <v>590</v>
      </c>
      <c r="L372">
        <v>1035</v>
      </c>
      <c r="N372">
        <v>1013</v>
      </c>
      <c r="O372" t="s">
        <v>182</v>
      </c>
      <c r="P372" t="s">
        <v>182</v>
      </c>
      <c r="Q372">
        <v>1</v>
      </c>
      <c r="W372">
        <v>0</v>
      </c>
      <c r="X372">
        <v>195171381</v>
      </c>
      <c r="Y372">
        <v>10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6.71</v>
      </c>
      <c r="AJ372">
        <v>1</v>
      </c>
      <c r="AK372">
        <v>1</v>
      </c>
      <c r="AL372">
        <v>1</v>
      </c>
      <c r="AN372">
        <v>0</v>
      </c>
      <c r="AO372">
        <v>0</v>
      </c>
      <c r="AP372">
        <v>0</v>
      </c>
      <c r="AQ372">
        <v>0</v>
      </c>
      <c r="AR372">
        <v>0</v>
      </c>
      <c r="AS372" t="s">
        <v>6</v>
      </c>
      <c r="AT372">
        <v>10</v>
      </c>
      <c r="AU372" t="s">
        <v>6</v>
      </c>
      <c r="AV372">
        <v>0</v>
      </c>
      <c r="AW372">
        <v>2</v>
      </c>
      <c r="AX372">
        <v>16809160</v>
      </c>
      <c r="AY372">
        <v>1</v>
      </c>
      <c r="AZ372">
        <v>0</v>
      </c>
      <c r="BA372">
        <v>344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Y372*Source!I285</f>
        <v>3</v>
      </c>
      <c r="CY372">
        <f t="shared" si="71"/>
        <v>0</v>
      </c>
      <c r="CZ372">
        <f t="shared" si="72"/>
        <v>0</v>
      </c>
      <c r="DA372">
        <f t="shared" si="73"/>
        <v>6.71</v>
      </c>
      <c r="DB372">
        <f t="shared" si="74"/>
        <v>0</v>
      </c>
      <c r="DC372">
        <f t="shared" si="75"/>
        <v>0</v>
      </c>
    </row>
    <row r="373" spans="1:107" x14ac:dyDescent="0.2">
      <c r="A373">
        <f>ROW(Source!A288)</f>
        <v>288</v>
      </c>
      <c r="B373">
        <v>16808636</v>
      </c>
      <c r="C373">
        <v>16809163</v>
      </c>
      <c r="D373">
        <v>15436556</v>
      </c>
      <c r="E373">
        <v>1</v>
      </c>
      <c r="F373">
        <v>1</v>
      </c>
      <c r="G373">
        <v>1</v>
      </c>
      <c r="H373">
        <v>1</v>
      </c>
      <c r="I373" t="s">
        <v>748</v>
      </c>
      <c r="J373" t="s">
        <v>6</v>
      </c>
      <c r="K373" t="s">
        <v>749</v>
      </c>
      <c r="L373">
        <v>1191</v>
      </c>
      <c r="N373">
        <v>1013</v>
      </c>
      <c r="O373" t="s">
        <v>708</v>
      </c>
      <c r="P373" t="s">
        <v>708</v>
      </c>
      <c r="Q373">
        <v>1</v>
      </c>
      <c r="W373">
        <v>0</v>
      </c>
      <c r="X373">
        <v>1069510174</v>
      </c>
      <c r="Y373">
        <v>8.4</v>
      </c>
      <c r="AA373">
        <v>0</v>
      </c>
      <c r="AB373">
        <v>0</v>
      </c>
      <c r="AC373">
        <v>0</v>
      </c>
      <c r="AD373">
        <v>64.55</v>
      </c>
      <c r="AE373">
        <v>0</v>
      </c>
      <c r="AF373">
        <v>0</v>
      </c>
      <c r="AG373">
        <v>0</v>
      </c>
      <c r="AH373">
        <v>9.6199999999999992</v>
      </c>
      <c r="AI373">
        <v>1</v>
      </c>
      <c r="AJ373">
        <v>1</v>
      </c>
      <c r="AK373">
        <v>1</v>
      </c>
      <c r="AL373">
        <v>6.71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6</v>
      </c>
      <c r="AT373">
        <v>7</v>
      </c>
      <c r="AU373" t="s">
        <v>443</v>
      </c>
      <c r="AV373">
        <v>1</v>
      </c>
      <c r="AW373">
        <v>2</v>
      </c>
      <c r="AX373">
        <v>16809170</v>
      </c>
      <c r="AY373">
        <v>1</v>
      </c>
      <c r="AZ373">
        <v>0</v>
      </c>
      <c r="BA373">
        <v>345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Y373*Source!I288</f>
        <v>2.52</v>
      </c>
      <c r="CY373">
        <f>AD373</f>
        <v>64.55</v>
      </c>
      <c r="CZ373">
        <f>AH373</f>
        <v>9.6199999999999992</v>
      </c>
      <c r="DA373">
        <f>AL373</f>
        <v>6.71</v>
      </c>
      <c r="DB373">
        <f>ROUND((ROUND(AT373*CZ373,2)*1.2),2)</f>
        <v>80.81</v>
      </c>
      <c r="DC373">
        <f>ROUND((ROUND(AT373*AG373,2)*1.2),2)</f>
        <v>0</v>
      </c>
    </row>
    <row r="374" spans="1:107" x14ac:dyDescent="0.2">
      <c r="A374">
        <f>ROW(Source!A288)</f>
        <v>288</v>
      </c>
      <c r="B374">
        <v>16808636</v>
      </c>
      <c r="C374">
        <v>16809163</v>
      </c>
      <c r="D374">
        <v>15167963</v>
      </c>
      <c r="E374">
        <v>1</v>
      </c>
      <c r="F374">
        <v>1</v>
      </c>
      <c r="G374">
        <v>1</v>
      </c>
      <c r="H374">
        <v>3</v>
      </c>
      <c r="I374" t="s">
        <v>993</v>
      </c>
      <c r="J374" t="s">
        <v>994</v>
      </c>
      <c r="K374" t="s">
        <v>995</v>
      </c>
      <c r="L374">
        <v>1346</v>
      </c>
      <c r="N374">
        <v>1009</v>
      </c>
      <c r="O374" t="s">
        <v>300</v>
      </c>
      <c r="P374" t="s">
        <v>300</v>
      </c>
      <c r="Q374">
        <v>1</v>
      </c>
      <c r="W374">
        <v>0</v>
      </c>
      <c r="X374">
        <v>-490687590</v>
      </c>
      <c r="Y374">
        <v>0.13</v>
      </c>
      <c r="AA374">
        <v>250.22</v>
      </c>
      <c r="AB374">
        <v>0</v>
      </c>
      <c r="AC374">
        <v>0</v>
      </c>
      <c r="AD374">
        <v>0</v>
      </c>
      <c r="AE374">
        <v>37.29</v>
      </c>
      <c r="AF374">
        <v>0</v>
      </c>
      <c r="AG374">
        <v>0</v>
      </c>
      <c r="AH374">
        <v>0</v>
      </c>
      <c r="AI374">
        <v>6.71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6</v>
      </c>
      <c r="AT374">
        <v>0.13</v>
      </c>
      <c r="AU374" t="s">
        <v>6</v>
      </c>
      <c r="AV374">
        <v>0</v>
      </c>
      <c r="AW374">
        <v>2</v>
      </c>
      <c r="AX374">
        <v>16809171</v>
      </c>
      <c r="AY374">
        <v>1</v>
      </c>
      <c r="AZ374">
        <v>0</v>
      </c>
      <c r="BA374">
        <v>346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Y374*Source!I288</f>
        <v>3.9E-2</v>
      </c>
      <c r="CY374">
        <f>AA374</f>
        <v>250.22</v>
      </c>
      <c r="CZ374">
        <f>AE374</f>
        <v>37.29</v>
      </c>
      <c r="DA374">
        <f>AI374</f>
        <v>6.71</v>
      </c>
      <c r="DB374">
        <f>ROUND(ROUND(AT374*CZ374,2),2)</f>
        <v>4.8499999999999996</v>
      </c>
      <c r="DC374">
        <f>ROUND(ROUND(AT374*AG374,2),2)</f>
        <v>0</v>
      </c>
    </row>
    <row r="375" spans="1:107" x14ac:dyDescent="0.2">
      <c r="A375">
        <f>ROW(Source!A288)</f>
        <v>288</v>
      </c>
      <c r="B375">
        <v>16808636</v>
      </c>
      <c r="C375">
        <v>16809163</v>
      </c>
      <c r="D375">
        <v>15203740</v>
      </c>
      <c r="E375">
        <v>1</v>
      </c>
      <c r="F375">
        <v>1</v>
      </c>
      <c r="G375">
        <v>1</v>
      </c>
      <c r="H375">
        <v>3</v>
      </c>
      <c r="I375" t="s">
        <v>999</v>
      </c>
      <c r="J375" t="s">
        <v>1000</v>
      </c>
      <c r="K375" t="s">
        <v>1001</v>
      </c>
      <c r="L375">
        <v>1348</v>
      </c>
      <c r="N375">
        <v>1009</v>
      </c>
      <c r="O375" t="s">
        <v>104</v>
      </c>
      <c r="P375" t="s">
        <v>104</v>
      </c>
      <c r="Q375">
        <v>1000</v>
      </c>
      <c r="W375">
        <v>0</v>
      </c>
      <c r="X375">
        <v>570223526</v>
      </c>
      <c r="Y375">
        <v>2.5999999999999998E-4</v>
      </c>
      <c r="AA375">
        <v>101448.49</v>
      </c>
      <c r="AB375">
        <v>0</v>
      </c>
      <c r="AC375">
        <v>0</v>
      </c>
      <c r="AD375">
        <v>0</v>
      </c>
      <c r="AE375">
        <v>15119</v>
      </c>
      <c r="AF375">
        <v>0</v>
      </c>
      <c r="AG375">
        <v>0</v>
      </c>
      <c r="AH375">
        <v>0</v>
      </c>
      <c r="AI375">
        <v>6.71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6</v>
      </c>
      <c r="AT375">
        <v>2.5999999999999998E-4</v>
      </c>
      <c r="AU375" t="s">
        <v>6</v>
      </c>
      <c r="AV375">
        <v>0</v>
      </c>
      <c r="AW375">
        <v>2</v>
      </c>
      <c r="AX375">
        <v>16809174</v>
      </c>
      <c r="AY375">
        <v>1</v>
      </c>
      <c r="AZ375">
        <v>0</v>
      </c>
      <c r="BA375">
        <v>349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Y375*Source!I288</f>
        <v>7.7999999999999985E-5</v>
      </c>
      <c r="CY375">
        <f>AA375</f>
        <v>101448.49</v>
      </c>
      <c r="CZ375">
        <f>AE375</f>
        <v>15119</v>
      </c>
      <c r="DA375">
        <f>AI375</f>
        <v>6.71</v>
      </c>
      <c r="DB375">
        <f>ROUND(ROUND(AT375*CZ375,2),2)</f>
        <v>3.93</v>
      </c>
      <c r="DC375">
        <f>ROUND(ROUND(AT375*AG375,2),2)</f>
        <v>0</v>
      </c>
    </row>
    <row r="376" spans="1:107" x14ac:dyDescent="0.2">
      <c r="A376">
        <f>ROW(Source!A288)</f>
        <v>288</v>
      </c>
      <c r="B376">
        <v>16808636</v>
      </c>
      <c r="C376">
        <v>16809163</v>
      </c>
      <c r="D376">
        <v>15204468</v>
      </c>
      <c r="E376">
        <v>1</v>
      </c>
      <c r="F376">
        <v>1</v>
      </c>
      <c r="G376">
        <v>1</v>
      </c>
      <c r="H376">
        <v>3</v>
      </c>
      <c r="I376" t="s">
        <v>912</v>
      </c>
      <c r="J376" t="s">
        <v>913</v>
      </c>
      <c r="K376" t="s">
        <v>914</v>
      </c>
      <c r="L376">
        <v>1348</v>
      </c>
      <c r="N376">
        <v>1009</v>
      </c>
      <c r="O376" t="s">
        <v>104</v>
      </c>
      <c r="P376" t="s">
        <v>104</v>
      </c>
      <c r="Q376">
        <v>1000</v>
      </c>
      <c r="W376">
        <v>0</v>
      </c>
      <c r="X376">
        <v>-909021926</v>
      </c>
      <c r="Y376">
        <v>1.2999999999999999E-4</v>
      </c>
      <c r="AA376">
        <v>113734.5</v>
      </c>
      <c r="AB376">
        <v>0</v>
      </c>
      <c r="AC376">
        <v>0</v>
      </c>
      <c r="AD376">
        <v>0</v>
      </c>
      <c r="AE376">
        <v>16950</v>
      </c>
      <c r="AF376">
        <v>0</v>
      </c>
      <c r="AG376">
        <v>0</v>
      </c>
      <c r="AH376">
        <v>0</v>
      </c>
      <c r="AI376">
        <v>6.71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6</v>
      </c>
      <c r="AT376">
        <v>1.2999999999999999E-4</v>
      </c>
      <c r="AU376" t="s">
        <v>6</v>
      </c>
      <c r="AV376">
        <v>0</v>
      </c>
      <c r="AW376">
        <v>2</v>
      </c>
      <c r="AX376">
        <v>16809175</v>
      </c>
      <c r="AY376">
        <v>1</v>
      </c>
      <c r="AZ376">
        <v>0</v>
      </c>
      <c r="BA376">
        <v>350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Y376*Source!I288</f>
        <v>3.8999999999999993E-5</v>
      </c>
      <c r="CY376">
        <f>AA376</f>
        <v>113734.5</v>
      </c>
      <c r="CZ376">
        <f>AE376</f>
        <v>16950</v>
      </c>
      <c r="DA376">
        <f>AI376</f>
        <v>6.71</v>
      </c>
      <c r="DB376">
        <f>ROUND(ROUND(AT376*CZ376,2),2)</f>
        <v>2.2000000000000002</v>
      </c>
      <c r="DC376">
        <f>ROUND(ROUND(AT376*AG376,2),2)</f>
        <v>0</v>
      </c>
    </row>
    <row r="377" spans="1:107" x14ac:dyDescent="0.2">
      <c r="A377">
        <f>ROW(Source!A288)</f>
        <v>288</v>
      </c>
      <c r="B377">
        <v>16808636</v>
      </c>
      <c r="C377">
        <v>16809163</v>
      </c>
      <c r="D377">
        <v>15163207</v>
      </c>
      <c r="E377">
        <v>17</v>
      </c>
      <c r="F377">
        <v>1</v>
      </c>
      <c r="G377">
        <v>1</v>
      </c>
      <c r="H377">
        <v>3</v>
      </c>
      <c r="I377" t="s">
        <v>601</v>
      </c>
      <c r="J377" t="s">
        <v>6</v>
      </c>
      <c r="K377" t="s">
        <v>602</v>
      </c>
      <c r="L377">
        <v>1354</v>
      </c>
      <c r="N377">
        <v>1010</v>
      </c>
      <c r="O377" t="s">
        <v>350</v>
      </c>
      <c r="P377" t="s">
        <v>350</v>
      </c>
      <c r="Q377">
        <v>1</v>
      </c>
      <c r="W377">
        <v>0</v>
      </c>
      <c r="X377">
        <v>-1335221296</v>
      </c>
      <c r="Y377">
        <v>10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6.71</v>
      </c>
      <c r="AJ377">
        <v>1</v>
      </c>
      <c r="AK377">
        <v>1</v>
      </c>
      <c r="AL377">
        <v>1</v>
      </c>
      <c r="AN377">
        <v>0</v>
      </c>
      <c r="AO377">
        <v>0</v>
      </c>
      <c r="AP377">
        <v>0</v>
      </c>
      <c r="AQ377">
        <v>0</v>
      </c>
      <c r="AR377">
        <v>0</v>
      </c>
      <c r="AS377" t="s">
        <v>6</v>
      </c>
      <c r="AT377">
        <v>10</v>
      </c>
      <c r="AU377" t="s">
        <v>6</v>
      </c>
      <c r="AV377">
        <v>0</v>
      </c>
      <c r="AW377">
        <v>2</v>
      </c>
      <c r="AX377">
        <v>16809176</v>
      </c>
      <c r="AY377">
        <v>1</v>
      </c>
      <c r="AZ377">
        <v>0</v>
      </c>
      <c r="BA377">
        <v>351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Y377*Source!I288</f>
        <v>3</v>
      </c>
      <c r="CY377">
        <f>AA377</f>
        <v>0</v>
      </c>
      <c r="CZ377">
        <f>AE377</f>
        <v>0</v>
      </c>
      <c r="DA377">
        <f>AI377</f>
        <v>6.71</v>
      </c>
      <c r="DB377">
        <f>ROUND(ROUND(AT377*CZ377,2),2)</f>
        <v>0</v>
      </c>
      <c r="DC377">
        <f>ROUND(ROUND(AT377*AG377,2),2)</f>
        <v>0</v>
      </c>
    </row>
    <row r="378" spans="1:107" x14ac:dyDescent="0.2">
      <c r="A378">
        <f>ROW(Source!A288)</f>
        <v>288</v>
      </c>
      <c r="B378">
        <v>16808636</v>
      </c>
      <c r="C378">
        <v>16809163</v>
      </c>
      <c r="D378">
        <v>15211318</v>
      </c>
      <c r="E378">
        <v>1</v>
      </c>
      <c r="F378">
        <v>1</v>
      </c>
      <c r="G378">
        <v>1</v>
      </c>
      <c r="H378">
        <v>3</v>
      </c>
      <c r="I378" t="s">
        <v>597</v>
      </c>
      <c r="J378" t="s">
        <v>599</v>
      </c>
      <c r="K378" t="s">
        <v>598</v>
      </c>
      <c r="L378">
        <v>1035</v>
      </c>
      <c r="N378">
        <v>1013</v>
      </c>
      <c r="O378" t="s">
        <v>182</v>
      </c>
      <c r="P378" t="s">
        <v>182</v>
      </c>
      <c r="Q378">
        <v>1</v>
      </c>
      <c r="W378">
        <v>0</v>
      </c>
      <c r="X378">
        <v>1551874932</v>
      </c>
      <c r="Y378">
        <v>10</v>
      </c>
      <c r="AA378">
        <v>2081.7800000000002</v>
      </c>
      <c r="AB378">
        <v>0</v>
      </c>
      <c r="AC378">
        <v>0</v>
      </c>
      <c r="AD378">
        <v>0</v>
      </c>
      <c r="AE378">
        <v>310.25</v>
      </c>
      <c r="AF378">
        <v>0</v>
      </c>
      <c r="AG378">
        <v>0</v>
      </c>
      <c r="AH378">
        <v>0</v>
      </c>
      <c r="AI378">
        <v>6.71</v>
      </c>
      <c r="AJ378">
        <v>1</v>
      </c>
      <c r="AK378">
        <v>1</v>
      </c>
      <c r="AL378">
        <v>1</v>
      </c>
      <c r="AN378">
        <v>0</v>
      </c>
      <c r="AO378">
        <v>0</v>
      </c>
      <c r="AP378">
        <v>0</v>
      </c>
      <c r="AQ378">
        <v>0</v>
      </c>
      <c r="AR378">
        <v>0</v>
      </c>
      <c r="AS378" t="s">
        <v>6</v>
      </c>
      <c r="AT378">
        <v>10</v>
      </c>
      <c r="AU378" t="s">
        <v>6</v>
      </c>
      <c r="AV378">
        <v>0</v>
      </c>
      <c r="AW378">
        <v>1</v>
      </c>
      <c r="AX378">
        <v>-1</v>
      </c>
      <c r="AY378">
        <v>0</v>
      </c>
      <c r="AZ378">
        <v>0</v>
      </c>
      <c r="BA378" t="s">
        <v>6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Y378*Source!I288</f>
        <v>3</v>
      </c>
      <c r="CY378">
        <f>AA378</f>
        <v>2081.7800000000002</v>
      </c>
      <c r="CZ378">
        <f>AE378</f>
        <v>310.25</v>
      </c>
      <c r="DA378">
        <f>AI378</f>
        <v>6.71</v>
      </c>
      <c r="DB378">
        <f>ROUND(ROUND(AT378*CZ378,2),2)</f>
        <v>3102.5</v>
      </c>
      <c r="DC378">
        <f>ROUND(ROUND(AT378*AG378,2),2)</f>
        <v>0</v>
      </c>
    </row>
    <row r="379" spans="1:107" x14ac:dyDescent="0.2">
      <c r="A379">
        <f>ROW(Source!A291)</f>
        <v>291</v>
      </c>
      <c r="B379">
        <v>16808636</v>
      </c>
      <c r="C379">
        <v>16809180</v>
      </c>
      <c r="D379">
        <v>15435721</v>
      </c>
      <c r="E379">
        <v>1</v>
      </c>
      <c r="F379">
        <v>1</v>
      </c>
      <c r="G379">
        <v>1</v>
      </c>
      <c r="H379">
        <v>1</v>
      </c>
      <c r="I379" t="s">
        <v>739</v>
      </c>
      <c r="J379" t="s">
        <v>6</v>
      </c>
      <c r="K379" t="s">
        <v>740</v>
      </c>
      <c r="L379">
        <v>1191</v>
      </c>
      <c r="N379">
        <v>1013</v>
      </c>
      <c r="O379" t="s">
        <v>708</v>
      </c>
      <c r="P379" t="s">
        <v>708</v>
      </c>
      <c r="Q379">
        <v>1</v>
      </c>
      <c r="W379">
        <v>0</v>
      </c>
      <c r="X379">
        <v>1983201532</v>
      </c>
      <c r="Y379">
        <v>116.34</v>
      </c>
      <c r="AA379">
        <v>0</v>
      </c>
      <c r="AB379">
        <v>0</v>
      </c>
      <c r="AC379">
        <v>0</v>
      </c>
      <c r="AD379">
        <v>63.81</v>
      </c>
      <c r="AE379">
        <v>0</v>
      </c>
      <c r="AF379">
        <v>0</v>
      </c>
      <c r="AG379">
        <v>0</v>
      </c>
      <c r="AH379">
        <v>9.51</v>
      </c>
      <c r="AI379">
        <v>1</v>
      </c>
      <c r="AJ379">
        <v>1</v>
      </c>
      <c r="AK379">
        <v>1</v>
      </c>
      <c r="AL379">
        <v>6.71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6</v>
      </c>
      <c r="AT379">
        <v>96.95</v>
      </c>
      <c r="AU379" t="s">
        <v>443</v>
      </c>
      <c r="AV379">
        <v>1</v>
      </c>
      <c r="AW379">
        <v>2</v>
      </c>
      <c r="AX379">
        <v>16809194</v>
      </c>
      <c r="AY379">
        <v>1</v>
      </c>
      <c r="AZ379">
        <v>0</v>
      </c>
      <c r="BA379">
        <v>352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Y379*Source!I291</f>
        <v>13.960800000000001</v>
      </c>
      <c r="CY379">
        <f>AD379</f>
        <v>63.81</v>
      </c>
      <c r="CZ379">
        <f>AH379</f>
        <v>9.51</v>
      </c>
      <c r="DA379">
        <f>AL379</f>
        <v>6.71</v>
      </c>
      <c r="DB379">
        <f>ROUND((ROUND(AT379*CZ379,2)*1.2),2)</f>
        <v>1106.3900000000001</v>
      </c>
      <c r="DC379">
        <f>ROUND((ROUND(AT379*AG379,2)*1.2),2)</f>
        <v>0</v>
      </c>
    </row>
    <row r="380" spans="1:107" x14ac:dyDescent="0.2">
      <c r="A380">
        <f>ROW(Source!A291)</f>
        <v>291</v>
      </c>
      <c r="B380">
        <v>16808636</v>
      </c>
      <c r="C380">
        <v>16809180</v>
      </c>
      <c r="D380">
        <v>15430395</v>
      </c>
      <c r="E380">
        <v>1</v>
      </c>
      <c r="F380">
        <v>1</v>
      </c>
      <c r="G380">
        <v>1</v>
      </c>
      <c r="H380">
        <v>1</v>
      </c>
      <c r="I380" t="s">
        <v>709</v>
      </c>
      <c r="J380" t="s">
        <v>6</v>
      </c>
      <c r="K380" t="s">
        <v>710</v>
      </c>
      <c r="L380">
        <v>1191</v>
      </c>
      <c r="N380">
        <v>1013</v>
      </c>
      <c r="O380" t="s">
        <v>708</v>
      </c>
      <c r="P380" t="s">
        <v>708</v>
      </c>
      <c r="Q380">
        <v>1</v>
      </c>
      <c r="W380">
        <v>0</v>
      </c>
      <c r="X380">
        <v>-1417349443</v>
      </c>
      <c r="Y380">
        <v>0.01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6.71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6</v>
      </c>
      <c r="AT380">
        <v>0.01</v>
      </c>
      <c r="AU380" t="s">
        <v>6</v>
      </c>
      <c r="AV380">
        <v>2</v>
      </c>
      <c r="AW380">
        <v>2</v>
      </c>
      <c r="AX380">
        <v>16809195</v>
      </c>
      <c r="AY380">
        <v>1</v>
      </c>
      <c r="AZ380">
        <v>2048</v>
      </c>
      <c r="BA380">
        <v>353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Y380*Source!I291</f>
        <v>1.1999999999999999E-3</v>
      </c>
      <c r="CY380">
        <f>AD380</f>
        <v>0</v>
      </c>
      <c r="CZ380">
        <f>AH380</f>
        <v>0</v>
      </c>
      <c r="DA380">
        <f>AL380</f>
        <v>1</v>
      </c>
      <c r="DB380">
        <f>ROUND(ROUND(AT380*CZ380,2),2)</f>
        <v>0</v>
      </c>
      <c r="DC380">
        <f>ROUND(ROUND(AT380*AG380,2),2)</f>
        <v>0</v>
      </c>
    </row>
    <row r="381" spans="1:107" x14ac:dyDescent="0.2">
      <c r="A381">
        <f>ROW(Source!A291)</f>
        <v>291</v>
      </c>
      <c r="B381">
        <v>16808636</v>
      </c>
      <c r="C381">
        <v>16809180</v>
      </c>
      <c r="D381">
        <v>15247576</v>
      </c>
      <c r="E381">
        <v>1</v>
      </c>
      <c r="F381">
        <v>1</v>
      </c>
      <c r="G381">
        <v>1</v>
      </c>
      <c r="H381">
        <v>2</v>
      </c>
      <c r="I381" t="s">
        <v>1002</v>
      </c>
      <c r="J381" t="s">
        <v>1003</v>
      </c>
      <c r="K381" t="s">
        <v>1004</v>
      </c>
      <c r="L381">
        <v>1368</v>
      </c>
      <c r="N381">
        <v>1011</v>
      </c>
      <c r="O381" t="s">
        <v>714</v>
      </c>
      <c r="P381" t="s">
        <v>714</v>
      </c>
      <c r="Q381">
        <v>1</v>
      </c>
      <c r="W381">
        <v>0</v>
      </c>
      <c r="X381">
        <v>257150282</v>
      </c>
      <c r="Y381">
        <v>3.5999999999999999E-3</v>
      </c>
      <c r="AA381">
        <v>0</v>
      </c>
      <c r="AB381">
        <v>559.82000000000005</v>
      </c>
      <c r="AC381">
        <v>13.5</v>
      </c>
      <c r="AD381">
        <v>0</v>
      </c>
      <c r="AE381">
        <v>0</v>
      </c>
      <c r="AF381">
        <v>83.43</v>
      </c>
      <c r="AG381">
        <v>13.5</v>
      </c>
      <c r="AH381">
        <v>0</v>
      </c>
      <c r="AI381">
        <v>1</v>
      </c>
      <c r="AJ381">
        <v>6.71</v>
      </c>
      <c r="AK381">
        <v>1</v>
      </c>
      <c r="AL381">
        <v>1</v>
      </c>
      <c r="AN381">
        <v>0</v>
      </c>
      <c r="AO381">
        <v>1</v>
      </c>
      <c r="AP381">
        <v>1</v>
      </c>
      <c r="AQ381">
        <v>0</v>
      </c>
      <c r="AR381">
        <v>0</v>
      </c>
      <c r="AS381" t="s">
        <v>6</v>
      </c>
      <c r="AT381">
        <v>3.0000000000000001E-3</v>
      </c>
      <c r="AU381" t="s">
        <v>443</v>
      </c>
      <c r="AV381">
        <v>0</v>
      </c>
      <c r="AW381">
        <v>2</v>
      </c>
      <c r="AX381">
        <v>16809196</v>
      </c>
      <c r="AY381">
        <v>1</v>
      </c>
      <c r="AZ381">
        <v>0</v>
      </c>
      <c r="BA381">
        <v>354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Y381*Source!I291</f>
        <v>4.3199999999999998E-4</v>
      </c>
      <c r="CY381">
        <f>AB381</f>
        <v>559.82000000000005</v>
      </c>
      <c r="CZ381">
        <f>AF381</f>
        <v>83.43</v>
      </c>
      <c r="DA381">
        <f>AJ381</f>
        <v>6.71</v>
      </c>
      <c r="DB381">
        <f>ROUND((ROUND(AT381*CZ381,2)*1.2),2)</f>
        <v>0.3</v>
      </c>
      <c r="DC381">
        <f>ROUND((ROUND(AT381*AG381,2)*1.2),2)</f>
        <v>0.05</v>
      </c>
    </row>
    <row r="382" spans="1:107" x14ac:dyDescent="0.2">
      <c r="A382">
        <f>ROW(Source!A291)</f>
        <v>291</v>
      </c>
      <c r="B382">
        <v>16808636</v>
      </c>
      <c r="C382">
        <v>16809180</v>
      </c>
      <c r="D382">
        <v>15247678</v>
      </c>
      <c r="E382">
        <v>1</v>
      </c>
      <c r="F382">
        <v>1</v>
      </c>
      <c r="G382">
        <v>1</v>
      </c>
      <c r="H382">
        <v>2</v>
      </c>
      <c r="I382" t="s">
        <v>1005</v>
      </c>
      <c r="J382" t="s">
        <v>1006</v>
      </c>
      <c r="K382" t="s">
        <v>1007</v>
      </c>
      <c r="L382">
        <v>1368</v>
      </c>
      <c r="N382">
        <v>1011</v>
      </c>
      <c r="O382" t="s">
        <v>714</v>
      </c>
      <c r="P382" t="s">
        <v>714</v>
      </c>
      <c r="Q382">
        <v>1</v>
      </c>
      <c r="W382">
        <v>0</v>
      </c>
      <c r="X382">
        <v>1330025190</v>
      </c>
      <c r="Y382">
        <v>4.7999999999999996E-3</v>
      </c>
      <c r="AA382">
        <v>0</v>
      </c>
      <c r="AB382">
        <v>590.54999999999995</v>
      </c>
      <c r="AC382">
        <v>11.6</v>
      </c>
      <c r="AD382">
        <v>0</v>
      </c>
      <c r="AE382">
        <v>0</v>
      </c>
      <c r="AF382">
        <v>88.01</v>
      </c>
      <c r="AG382">
        <v>11.6</v>
      </c>
      <c r="AH382">
        <v>0</v>
      </c>
      <c r="AI382">
        <v>1</v>
      </c>
      <c r="AJ382">
        <v>6.71</v>
      </c>
      <c r="AK382">
        <v>1</v>
      </c>
      <c r="AL382">
        <v>1</v>
      </c>
      <c r="AN382">
        <v>0</v>
      </c>
      <c r="AO382">
        <v>1</v>
      </c>
      <c r="AP382">
        <v>1</v>
      </c>
      <c r="AQ382">
        <v>0</v>
      </c>
      <c r="AR382">
        <v>0</v>
      </c>
      <c r="AS382" t="s">
        <v>6</v>
      </c>
      <c r="AT382">
        <v>4.0000000000000001E-3</v>
      </c>
      <c r="AU382" t="s">
        <v>443</v>
      </c>
      <c r="AV382">
        <v>0</v>
      </c>
      <c r="AW382">
        <v>2</v>
      </c>
      <c r="AX382">
        <v>16809197</v>
      </c>
      <c r="AY382">
        <v>1</v>
      </c>
      <c r="AZ382">
        <v>0</v>
      </c>
      <c r="BA382">
        <v>355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Y382*Source!I291</f>
        <v>5.7599999999999991E-4</v>
      </c>
      <c r="CY382">
        <f>AB382</f>
        <v>590.54999999999995</v>
      </c>
      <c r="CZ382">
        <f>AF382</f>
        <v>88.01</v>
      </c>
      <c r="DA382">
        <f>AJ382</f>
        <v>6.71</v>
      </c>
      <c r="DB382">
        <f>ROUND((ROUND(AT382*CZ382,2)*1.2),2)</f>
        <v>0.42</v>
      </c>
      <c r="DC382">
        <f>ROUND((ROUND(AT382*AG382,2)*1.2),2)</f>
        <v>0.06</v>
      </c>
    </row>
    <row r="383" spans="1:107" x14ac:dyDescent="0.2">
      <c r="A383">
        <f>ROW(Source!A291)</f>
        <v>291</v>
      </c>
      <c r="B383">
        <v>16808636</v>
      </c>
      <c r="C383">
        <v>16809180</v>
      </c>
      <c r="D383">
        <v>15248793</v>
      </c>
      <c r="E383">
        <v>1</v>
      </c>
      <c r="F383">
        <v>1</v>
      </c>
      <c r="G383">
        <v>1</v>
      </c>
      <c r="H383">
        <v>2</v>
      </c>
      <c r="I383" t="s">
        <v>1008</v>
      </c>
      <c r="J383" t="s">
        <v>1009</v>
      </c>
      <c r="K383" t="s">
        <v>1010</v>
      </c>
      <c r="L383">
        <v>1368</v>
      </c>
      <c r="N383">
        <v>1011</v>
      </c>
      <c r="O383" t="s">
        <v>714</v>
      </c>
      <c r="P383" t="s">
        <v>714</v>
      </c>
      <c r="Q383">
        <v>1</v>
      </c>
      <c r="W383">
        <v>0</v>
      </c>
      <c r="X383">
        <v>-1347092713</v>
      </c>
      <c r="Y383">
        <v>1.524</v>
      </c>
      <c r="AA383">
        <v>0</v>
      </c>
      <c r="AB383">
        <v>199.09</v>
      </c>
      <c r="AC383">
        <v>0</v>
      </c>
      <c r="AD383">
        <v>0</v>
      </c>
      <c r="AE383">
        <v>0</v>
      </c>
      <c r="AF383">
        <v>29.67</v>
      </c>
      <c r="AG383">
        <v>0</v>
      </c>
      <c r="AH383">
        <v>0</v>
      </c>
      <c r="AI383">
        <v>1</v>
      </c>
      <c r="AJ383">
        <v>6.71</v>
      </c>
      <c r="AK383">
        <v>1</v>
      </c>
      <c r="AL383">
        <v>1</v>
      </c>
      <c r="AN383">
        <v>0</v>
      </c>
      <c r="AO383">
        <v>1</v>
      </c>
      <c r="AP383">
        <v>1</v>
      </c>
      <c r="AQ383">
        <v>0</v>
      </c>
      <c r="AR383">
        <v>0</v>
      </c>
      <c r="AS383" t="s">
        <v>6</v>
      </c>
      <c r="AT383">
        <v>1.27</v>
      </c>
      <c r="AU383" t="s">
        <v>443</v>
      </c>
      <c r="AV383">
        <v>0</v>
      </c>
      <c r="AW383">
        <v>2</v>
      </c>
      <c r="AX383">
        <v>16809198</v>
      </c>
      <c r="AY383">
        <v>1</v>
      </c>
      <c r="AZ383">
        <v>0</v>
      </c>
      <c r="BA383">
        <v>356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Y383*Source!I291</f>
        <v>0.18287999999999999</v>
      </c>
      <c r="CY383">
        <f>AB383</f>
        <v>199.09</v>
      </c>
      <c r="CZ383">
        <f>AF383</f>
        <v>29.67</v>
      </c>
      <c r="DA383">
        <f>AJ383</f>
        <v>6.71</v>
      </c>
      <c r="DB383">
        <f>ROUND((ROUND(AT383*CZ383,2)*1.2),2)</f>
        <v>45.22</v>
      </c>
      <c r="DC383">
        <f>ROUND((ROUND(AT383*AG383,2)*1.2),2)</f>
        <v>0</v>
      </c>
    </row>
    <row r="384" spans="1:107" x14ac:dyDescent="0.2">
      <c r="A384">
        <f>ROW(Source!A291)</f>
        <v>291</v>
      </c>
      <c r="B384">
        <v>16808636</v>
      </c>
      <c r="C384">
        <v>16809180</v>
      </c>
      <c r="D384">
        <v>15249310</v>
      </c>
      <c r="E384">
        <v>1</v>
      </c>
      <c r="F384">
        <v>1</v>
      </c>
      <c r="G384">
        <v>1</v>
      </c>
      <c r="H384">
        <v>2</v>
      </c>
      <c r="I384" t="s">
        <v>1011</v>
      </c>
      <c r="J384" t="s">
        <v>1012</v>
      </c>
      <c r="K384" t="s">
        <v>1013</v>
      </c>
      <c r="L384">
        <v>1368</v>
      </c>
      <c r="N384">
        <v>1011</v>
      </c>
      <c r="O384" t="s">
        <v>714</v>
      </c>
      <c r="P384" t="s">
        <v>714</v>
      </c>
      <c r="Q384">
        <v>1</v>
      </c>
      <c r="W384">
        <v>0</v>
      </c>
      <c r="X384">
        <v>1489131384</v>
      </c>
      <c r="Y384">
        <v>19.655999999999999</v>
      </c>
      <c r="AA384">
        <v>0</v>
      </c>
      <c r="AB384">
        <v>176.14</v>
      </c>
      <c r="AC384">
        <v>0</v>
      </c>
      <c r="AD384">
        <v>0</v>
      </c>
      <c r="AE384">
        <v>0</v>
      </c>
      <c r="AF384">
        <v>26.25</v>
      </c>
      <c r="AG384">
        <v>0</v>
      </c>
      <c r="AH384">
        <v>0</v>
      </c>
      <c r="AI384">
        <v>1</v>
      </c>
      <c r="AJ384">
        <v>6.71</v>
      </c>
      <c r="AK384">
        <v>1</v>
      </c>
      <c r="AL384">
        <v>1</v>
      </c>
      <c r="AN384">
        <v>0</v>
      </c>
      <c r="AO384">
        <v>1</v>
      </c>
      <c r="AP384">
        <v>1</v>
      </c>
      <c r="AQ384">
        <v>0</v>
      </c>
      <c r="AR384">
        <v>0</v>
      </c>
      <c r="AS384" t="s">
        <v>6</v>
      </c>
      <c r="AT384">
        <v>16.38</v>
      </c>
      <c r="AU384" t="s">
        <v>443</v>
      </c>
      <c r="AV384">
        <v>0</v>
      </c>
      <c r="AW384">
        <v>2</v>
      </c>
      <c r="AX384">
        <v>16809199</v>
      </c>
      <c r="AY384">
        <v>1</v>
      </c>
      <c r="AZ384">
        <v>0</v>
      </c>
      <c r="BA384">
        <v>357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Y384*Source!I291</f>
        <v>2.3587199999999999</v>
      </c>
      <c r="CY384">
        <f>AB384</f>
        <v>176.14</v>
      </c>
      <c r="CZ384">
        <f>AF384</f>
        <v>26.25</v>
      </c>
      <c r="DA384">
        <f>AJ384</f>
        <v>6.71</v>
      </c>
      <c r="DB384">
        <f>ROUND((ROUND(AT384*CZ384,2)*1.2),2)</f>
        <v>515.98</v>
      </c>
      <c r="DC384">
        <f>ROUND((ROUND(AT384*AG384,2)*1.2),2)</f>
        <v>0</v>
      </c>
    </row>
    <row r="385" spans="1:107" x14ac:dyDescent="0.2">
      <c r="A385">
        <f>ROW(Source!A291)</f>
        <v>291</v>
      </c>
      <c r="B385">
        <v>16808636</v>
      </c>
      <c r="C385">
        <v>16809180</v>
      </c>
      <c r="D385">
        <v>15167286</v>
      </c>
      <c r="E385">
        <v>1</v>
      </c>
      <c r="F385">
        <v>1</v>
      </c>
      <c r="G385">
        <v>1</v>
      </c>
      <c r="H385">
        <v>3</v>
      </c>
      <c r="I385" t="s">
        <v>781</v>
      </c>
      <c r="J385" t="s">
        <v>782</v>
      </c>
      <c r="K385" t="s">
        <v>783</v>
      </c>
      <c r="L385">
        <v>1339</v>
      </c>
      <c r="N385">
        <v>1007</v>
      </c>
      <c r="O385" t="s">
        <v>254</v>
      </c>
      <c r="P385" t="s">
        <v>254</v>
      </c>
      <c r="Q385">
        <v>1</v>
      </c>
      <c r="W385">
        <v>0</v>
      </c>
      <c r="X385">
        <v>-1660354250</v>
      </c>
      <c r="Y385">
        <v>0.14399999999999999</v>
      </c>
      <c r="AA385">
        <v>16.37</v>
      </c>
      <c r="AB385">
        <v>0</v>
      </c>
      <c r="AC385">
        <v>0</v>
      </c>
      <c r="AD385">
        <v>0</v>
      </c>
      <c r="AE385">
        <v>2.44</v>
      </c>
      <c r="AF385">
        <v>0</v>
      </c>
      <c r="AG385">
        <v>0</v>
      </c>
      <c r="AH385">
        <v>0</v>
      </c>
      <c r="AI385">
        <v>6.71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6</v>
      </c>
      <c r="AT385">
        <v>0.14399999999999999</v>
      </c>
      <c r="AU385" t="s">
        <v>6</v>
      </c>
      <c r="AV385">
        <v>0</v>
      </c>
      <c r="AW385">
        <v>2</v>
      </c>
      <c r="AX385">
        <v>16809200</v>
      </c>
      <c r="AY385">
        <v>1</v>
      </c>
      <c r="AZ385">
        <v>0</v>
      </c>
      <c r="BA385">
        <v>358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Y385*Source!I291</f>
        <v>1.7279999999999997E-2</v>
      </c>
      <c r="CY385">
        <f t="shared" ref="CY385:CY391" si="76">AA385</f>
        <v>16.37</v>
      </c>
      <c r="CZ385">
        <f t="shared" ref="CZ385:CZ391" si="77">AE385</f>
        <v>2.44</v>
      </c>
      <c r="DA385">
        <f t="shared" ref="DA385:DA391" si="78">AI385</f>
        <v>6.71</v>
      </c>
      <c r="DB385">
        <f t="shared" ref="DB385:DB391" si="79">ROUND(ROUND(AT385*CZ385,2),2)</f>
        <v>0.35</v>
      </c>
      <c r="DC385">
        <f t="shared" ref="DC385:DC391" si="80">ROUND(ROUND(AT385*AG385,2),2)</f>
        <v>0</v>
      </c>
    </row>
    <row r="386" spans="1:107" x14ac:dyDescent="0.2">
      <c r="A386">
        <f>ROW(Source!A291)</f>
        <v>291</v>
      </c>
      <c r="B386">
        <v>16808636</v>
      </c>
      <c r="C386">
        <v>16809180</v>
      </c>
      <c r="D386">
        <v>15169957</v>
      </c>
      <c r="E386">
        <v>1</v>
      </c>
      <c r="F386">
        <v>1</v>
      </c>
      <c r="G386">
        <v>1</v>
      </c>
      <c r="H386">
        <v>3</v>
      </c>
      <c r="I386" t="s">
        <v>1014</v>
      </c>
      <c r="J386" t="s">
        <v>1015</v>
      </c>
      <c r="K386" t="s">
        <v>1016</v>
      </c>
      <c r="L386">
        <v>1348</v>
      </c>
      <c r="N386">
        <v>1009</v>
      </c>
      <c r="O386" t="s">
        <v>104</v>
      </c>
      <c r="P386" t="s">
        <v>104</v>
      </c>
      <c r="Q386">
        <v>1000</v>
      </c>
      <c r="W386">
        <v>0</v>
      </c>
      <c r="X386">
        <v>-172112227</v>
      </c>
      <c r="Y386">
        <v>8.9999999999999998E-4</v>
      </c>
      <c r="AA386">
        <v>88483.03</v>
      </c>
      <c r="AB386">
        <v>0</v>
      </c>
      <c r="AC386">
        <v>0</v>
      </c>
      <c r="AD386">
        <v>0</v>
      </c>
      <c r="AE386">
        <v>13186.74</v>
      </c>
      <c r="AF386">
        <v>0</v>
      </c>
      <c r="AG386">
        <v>0</v>
      </c>
      <c r="AH386">
        <v>0</v>
      </c>
      <c r="AI386">
        <v>6.71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6</v>
      </c>
      <c r="AT386">
        <v>8.9999999999999998E-4</v>
      </c>
      <c r="AU386" t="s">
        <v>6</v>
      </c>
      <c r="AV386">
        <v>0</v>
      </c>
      <c r="AW386">
        <v>2</v>
      </c>
      <c r="AX386">
        <v>16809201</v>
      </c>
      <c r="AY386">
        <v>1</v>
      </c>
      <c r="AZ386">
        <v>0</v>
      </c>
      <c r="BA386">
        <v>359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Y386*Source!I291</f>
        <v>1.08E-4</v>
      </c>
      <c r="CY386">
        <f t="shared" si="76"/>
        <v>88483.03</v>
      </c>
      <c r="CZ386">
        <f t="shared" si="77"/>
        <v>13186.74</v>
      </c>
      <c r="DA386">
        <f t="shared" si="78"/>
        <v>6.71</v>
      </c>
      <c r="DB386">
        <f t="shared" si="79"/>
        <v>11.87</v>
      </c>
      <c r="DC386">
        <f t="shared" si="80"/>
        <v>0</v>
      </c>
    </row>
    <row r="387" spans="1:107" x14ac:dyDescent="0.2">
      <c r="A387">
        <f>ROW(Source!A291)</f>
        <v>291</v>
      </c>
      <c r="B387">
        <v>16808636</v>
      </c>
      <c r="C387">
        <v>16809180</v>
      </c>
      <c r="D387">
        <v>15170076</v>
      </c>
      <c r="E387">
        <v>1</v>
      </c>
      <c r="F387">
        <v>1</v>
      </c>
      <c r="G387">
        <v>1</v>
      </c>
      <c r="H387">
        <v>3</v>
      </c>
      <c r="I387" t="s">
        <v>741</v>
      </c>
      <c r="J387" t="s">
        <v>742</v>
      </c>
      <c r="K387" t="s">
        <v>743</v>
      </c>
      <c r="L387">
        <v>1356</v>
      </c>
      <c r="N387">
        <v>1010</v>
      </c>
      <c r="O387" t="s">
        <v>744</v>
      </c>
      <c r="P387" t="s">
        <v>744</v>
      </c>
      <c r="Q387">
        <v>1000</v>
      </c>
      <c r="W387">
        <v>0</v>
      </c>
      <c r="X387">
        <v>1975348994</v>
      </c>
      <c r="Y387">
        <v>0.14299999999999999</v>
      </c>
      <c r="AA387">
        <v>1207.8</v>
      </c>
      <c r="AB387">
        <v>0</v>
      </c>
      <c r="AC387">
        <v>0</v>
      </c>
      <c r="AD387">
        <v>0</v>
      </c>
      <c r="AE387">
        <v>180</v>
      </c>
      <c r="AF387">
        <v>0</v>
      </c>
      <c r="AG387">
        <v>0</v>
      </c>
      <c r="AH387">
        <v>0</v>
      </c>
      <c r="AI387">
        <v>6.71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6</v>
      </c>
      <c r="AT387">
        <v>0.14299999999999999</v>
      </c>
      <c r="AU387" t="s">
        <v>6</v>
      </c>
      <c r="AV387">
        <v>0</v>
      </c>
      <c r="AW387">
        <v>2</v>
      </c>
      <c r="AX387">
        <v>16809202</v>
      </c>
      <c r="AY387">
        <v>1</v>
      </c>
      <c r="AZ387">
        <v>0</v>
      </c>
      <c r="BA387">
        <v>360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Y387*Source!I291</f>
        <v>1.7159999999999998E-2</v>
      </c>
      <c r="CY387">
        <f t="shared" si="76"/>
        <v>1207.8</v>
      </c>
      <c r="CZ387">
        <f t="shared" si="77"/>
        <v>180</v>
      </c>
      <c r="DA387">
        <f t="shared" si="78"/>
        <v>6.71</v>
      </c>
      <c r="DB387">
        <f t="shared" si="79"/>
        <v>25.74</v>
      </c>
      <c r="DC387">
        <f t="shared" si="80"/>
        <v>0</v>
      </c>
    </row>
    <row r="388" spans="1:107" x14ac:dyDescent="0.2">
      <c r="A388">
        <f>ROW(Source!A291)</f>
        <v>291</v>
      </c>
      <c r="B388">
        <v>16808636</v>
      </c>
      <c r="C388">
        <v>16809180</v>
      </c>
      <c r="D388">
        <v>15172018</v>
      </c>
      <c r="E388">
        <v>1</v>
      </c>
      <c r="F388">
        <v>1</v>
      </c>
      <c r="G388">
        <v>1</v>
      </c>
      <c r="H388">
        <v>3</v>
      </c>
      <c r="I388" t="s">
        <v>1017</v>
      </c>
      <c r="J388" t="s">
        <v>1018</v>
      </c>
      <c r="K388" t="s">
        <v>1019</v>
      </c>
      <c r="L388">
        <v>1346</v>
      </c>
      <c r="N388">
        <v>1009</v>
      </c>
      <c r="O388" t="s">
        <v>300</v>
      </c>
      <c r="P388" t="s">
        <v>300</v>
      </c>
      <c r="Q388">
        <v>1</v>
      </c>
      <c r="W388">
        <v>0</v>
      </c>
      <c r="X388">
        <v>450790165</v>
      </c>
      <c r="Y388">
        <v>1.6000000000000001E-3</v>
      </c>
      <c r="AA388">
        <v>14.43</v>
      </c>
      <c r="AB388">
        <v>0</v>
      </c>
      <c r="AC388">
        <v>0</v>
      </c>
      <c r="AD388">
        <v>0</v>
      </c>
      <c r="AE388">
        <v>2.15</v>
      </c>
      <c r="AF388">
        <v>0</v>
      </c>
      <c r="AG388">
        <v>0</v>
      </c>
      <c r="AH388">
        <v>0</v>
      </c>
      <c r="AI388">
        <v>6.71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6</v>
      </c>
      <c r="AT388">
        <v>1.6000000000000001E-3</v>
      </c>
      <c r="AU388" t="s">
        <v>6</v>
      </c>
      <c r="AV388">
        <v>0</v>
      </c>
      <c r="AW388">
        <v>2</v>
      </c>
      <c r="AX388">
        <v>16809203</v>
      </c>
      <c r="AY388">
        <v>1</v>
      </c>
      <c r="AZ388">
        <v>0</v>
      </c>
      <c r="BA388">
        <v>361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Y388*Source!I291</f>
        <v>1.92E-4</v>
      </c>
      <c r="CY388">
        <f t="shared" si="76"/>
        <v>14.43</v>
      </c>
      <c r="CZ388">
        <f t="shared" si="77"/>
        <v>2.15</v>
      </c>
      <c r="DA388">
        <f t="shared" si="78"/>
        <v>6.71</v>
      </c>
      <c r="DB388">
        <f t="shared" si="79"/>
        <v>0</v>
      </c>
      <c r="DC388">
        <f t="shared" si="80"/>
        <v>0</v>
      </c>
    </row>
    <row r="389" spans="1:107" x14ac:dyDescent="0.2">
      <c r="A389">
        <f>ROW(Source!A291)</f>
        <v>291</v>
      </c>
      <c r="B389">
        <v>16808636</v>
      </c>
      <c r="C389">
        <v>16809180</v>
      </c>
      <c r="D389">
        <v>15164034</v>
      </c>
      <c r="E389">
        <v>17</v>
      </c>
      <c r="F389">
        <v>1</v>
      </c>
      <c r="G389">
        <v>1</v>
      </c>
      <c r="H389">
        <v>3</v>
      </c>
      <c r="I389" t="s">
        <v>614</v>
      </c>
      <c r="J389" t="s">
        <v>6</v>
      </c>
      <c r="K389" t="s">
        <v>615</v>
      </c>
      <c r="L389">
        <v>1354</v>
      </c>
      <c r="N389">
        <v>1010</v>
      </c>
      <c r="O389" t="s">
        <v>350</v>
      </c>
      <c r="P389" t="s">
        <v>350</v>
      </c>
      <c r="Q389">
        <v>1</v>
      </c>
      <c r="W389">
        <v>0</v>
      </c>
      <c r="X389">
        <v>152577442</v>
      </c>
      <c r="Y389">
        <v>141.66666699999999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6.71</v>
      </c>
      <c r="AJ389">
        <v>1</v>
      </c>
      <c r="AK389">
        <v>1</v>
      </c>
      <c r="AL389">
        <v>1</v>
      </c>
      <c r="AN389">
        <v>0</v>
      </c>
      <c r="AO389">
        <v>0</v>
      </c>
      <c r="AP389">
        <v>0</v>
      </c>
      <c r="AQ389">
        <v>0</v>
      </c>
      <c r="AR389">
        <v>0</v>
      </c>
      <c r="AS389" t="s">
        <v>6</v>
      </c>
      <c r="AT389">
        <v>141.66666699999999</v>
      </c>
      <c r="AU389" t="s">
        <v>6</v>
      </c>
      <c r="AV389">
        <v>0</v>
      </c>
      <c r="AW389">
        <v>2</v>
      </c>
      <c r="AX389">
        <v>16809205</v>
      </c>
      <c r="AY389">
        <v>1</v>
      </c>
      <c r="AZ389">
        <v>6144</v>
      </c>
      <c r="BA389">
        <v>363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Y389*Source!I291</f>
        <v>17.00000004</v>
      </c>
      <c r="CY389">
        <f t="shared" si="76"/>
        <v>0</v>
      </c>
      <c r="CZ389">
        <f t="shared" si="77"/>
        <v>0</v>
      </c>
      <c r="DA389">
        <f t="shared" si="78"/>
        <v>6.71</v>
      </c>
      <c r="DB389">
        <f t="shared" si="79"/>
        <v>0</v>
      </c>
      <c r="DC389">
        <f t="shared" si="80"/>
        <v>0</v>
      </c>
    </row>
    <row r="390" spans="1:107" x14ac:dyDescent="0.2">
      <c r="A390">
        <f>ROW(Source!A291)</f>
        <v>291</v>
      </c>
      <c r="B390">
        <v>16808636</v>
      </c>
      <c r="C390">
        <v>16809180</v>
      </c>
      <c r="D390">
        <v>15232851</v>
      </c>
      <c r="E390">
        <v>1</v>
      </c>
      <c r="F390">
        <v>1</v>
      </c>
      <c r="G390">
        <v>1</v>
      </c>
      <c r="H390">
        <v>3</v>
      </c>
      <c r="I390" t="s">
        <v>610</v>
      </c>
      <c r="J390" t="s">
        <v>612</v>
      </c>
      <c r="K390" t="s">
        <v>611</v>
      </c>
      <c r="L390">
        <v>1358</v>
      </c>
      <c r="N390">
        <v>1010</v>
      </c>
      <c r="O390" t="s">
        <v>512</v>
      </c>
      <c r="P390" t="s">
        <v>512</v>
      </c>
      <c r="Q390">
        <v>10</v>
      </c>
      <c r="W390">
        <v>0</v>
      </c>
      <c r="X390">
        <v>1628142620</v>
      </c>
      <c r="Y390">
        <v>14.166667</v>
      </c>
      <c r="AA390">
        <v>616.65</v>
      </c>
      <c r="AB390">
        <v>0</v>
      </c>
      <c r="AC390">
        <v>0</v>
      </c>
      <c r="AD390">
        <v>0</v>
      </c>
      <c r="AE390">
        <v>91.9</v>
      </c>
      <c r="AF390">
        <v>0</v>
      </c>
      <c r="AG390">
        <v>0</v>
      </c>
      <c r="AH390">
        <v>0</v>
      </c>
      <c r="AI390">
        <v>6.71</v>
      </c>
      <c r="AJ390">
        <v>1</v>
      </c>
      <c r="AK390">
        <v>1</v>
      </c>
      <c r="AL390">
        <v>1</v>
      </c>
      <c r="AN390">
        <v>0</v>
      </c>
      <c r="AO390">
        <v>0</v>
      </c>
      <c r="AP390">
        <v>0</v>
      </c>
      <c r="AQ390">
        <v>0</v>
      </c>
      <c r="AR390">
        <v>0</v>
      </c>
      <c r="AS390" t="s">
        <v>6</v>
      </c>
      <c r="AT390">
        <v>14.166667</v>
      </c>
      <c r="AU390" t="s">
        <v>6</v>
      </c>
      <c r="AV390">
        <v>0</v>
      </c>
      <c r="AW390">
        <v>1</v>
      </c>
      <c r="AX390">
        <v>-1</v>
      </c>
      <c r="AY390">
        <v>0</v>
      </c>
      <c r="AZ390">
        <v>0</v>
      </c>
      <c r="BA390" t="s">
        <v>6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Y390*Source!I291</f>
        <v>1.7000000399999999</v>
      </c>
      <c r="CY390">
        <f t="shared" si="76"/>
        <v>616.65</v>
      </c>
      <c r="CZ390">
        <f t="shared" si="77"/>
        <v>91.9</v>
      </c>
      <c r="DA390">
        <f t="shared" si="78"/>
        <v>6.71</v>
      </c>
      <c r="DB390">
        <f t="shared" si="79"/>
        <v>1301.92</v>
      </c>
      <c r="DC390">
        <f t="shared" si="80"/>
        <v>0</v>
      </c>
    </row>
    <row r="391" spans="1:107" x14ac:dyDescent="0.2">
      <c r="A391">
        <f>ROW(Source!A291)</f>
        <v>291</v>
      </c>
      <c r="B391">
        <v>16808636</v>
      </c>
      <c r="C391">
        <v>16809180</v>
      </c>
      <c r="D391">
        <v>15233493</v>
      </c>
      <c r="E391">
        <v>1</v>
      </c>
      <c r="F391">
        <v>1</v>
      </c>
      <c r="G391">
        <v>1</v>
      </c>
      <c r="H391">
        <v>3</v>
      </c>
      <c r="I391" t="s">
        <v>617</v>
      </c>
      <c r="J391" t="s">
        <v>619</v>
      </c>
      <c r="K391" t="s">
        <v>618</v>
      </c>
      <c r="L391">
        <v>1301</v>
      </c>
      <c r="N391">
        <v>1003</v>
      </c>
      <c r="O391" t="s">
        <v>202</v>
      </c>
      <c r="P391" t="s">
        <v>202</v>
      </c>
      <c r="Q391">
        <v>1</v>
      </c>
      <c r="W391">
        <v>0</v>
      </c>
      <c r="X391">
        <v>252660351</v>
      </c>
      <c r="Y391">
        <v>100.5</v>
      </c>
      <c r="AA391">
        <v>44.22</v>
      </c>
      <c r="AB391">
        <v>0</v>
      </c>
      <c r="AC391">
        <v>0</v>
      </c>
      <c r="AD391">
        <v>0</v>
      </c>
      <c r="AE391">
        <v>6.59</v>
      </c>
      <c r="AF391">
        <v>0</v>
      </c>
      <c r="AG391">
        <v>0</v>
      </c>
      <c r="AH391">
        <v>0</v>
      </c>
      <c r="AI391">
        <v>6.71</v>
      </c>
      <c r="AJ391">
        <v>1</v>
      </c>
      <c r="AK391">
        <v>1</v>
      </c>
      <c r="AL391">
        <v>1</v>
      </c>
      <c r="AN391">
        <v>0</v>
      </c>
      <c r="AO391">
        <v>0</v>
      </c>
      <c r="AP391">
        <v>0</v>
      </c>
      <c r="AQ391">
        <v>0</v>
      </c>
      <c r="AR391">
        <v>0</v>
      </c>
      <c r="AS391" t="s">
        <v>6</v>
      </c>
      <c r="AT391">
        <v>100.5</v>
      </c>
      <c r="AU391" t="s">
        <v>6</v>
      </c>
      <c r="AV391">
        <v>0</v>
      </c>
      <c r="AW391">
        <v>1</v>
      </c>
      <c r="AX391">
        <v>-1</v>
      </c>
      <c r="AY391">
        <v>0</v>
      </c>
      <c r="AZ391">
        <v>0</v>
      </c>
      <c r="BA391" t="s">
        <v>6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Y391*Source!I291</f>
        <v>12.059999999999999</v>
      </c>
      <c r="CY391">
        <f t="shared" si="76"/>
        <v>44.22</v>
      </c>
      <c r="CZ391">
        <f t="shared" si="77"/>
        <v>6.59</v>
      </c>
      <c r="DA391">
        <f t="shared" si="78"/>
        <v>6.71</v>
      </c>
      <c r="DB391">
        <f t="shared" si="79"/>
        <v>662.3</v>
      </c>
      <c r="DC391">
        <f t="shared" si="80"/>
        <v>0</v>
      </c>
    </row>
    <row r="392" spans="1:107" x14ac:dyDescent="0.2">
      <c r="A392">
        <f>ROW(Source!A295)</f>
        <v>295</v>
      </c>
      <c r="B392">
        <v>16808636</v>
      </c>
      <c r="C392">
        <v>16809211</v>
      </c>
      <c r="D392">
        <v>15430447</v>
      </c>
      <c r="E392">
        <v>1</v>
      </c>
      <c r="F392">
        <v>1</v>
      </c>
      <c r="G392">
        <v>1</v>
      </c>
      <c r="H392">
        <v>1</v>
      </c>
      <c r="I392" t="s">
        <v>765</v>
      </c>
      <c r="J392" t="s">
        <v>6</v>
      </c>
      <c r="K392" t="s">
        <v>766</v>
      </c>
      <c r="L392">
        <v>1191</v>
      </c>
      <c r="N392">
        <v>1013</v>
      </c>
      <c r="O392" t="s">
        <v>708</v>
      </c>
      <c r="P392" t="s">
        <v>708</v>
      </c>
      <c r="Q392">
        <v>1</v>
      </c>
      <c r="W392">
        <v>0</v>
      </c>
      <c r="X392">
        <v>145020957</v>
      </c>
      <c r="Y392">
        <v>1.764</v>
      </c>
      <c r="AA392">
        <v>0</v>
      </c>
      <c r="AB392">
        <v>0</v>
      </c>
      <c r="AC392">
        <v>0</v>
      </c>
      <c r="AD392">
        <v>60.86</v>
      </c>
      <c r="AE392">
        <v>0</v>
      </c>
      <c r="AF392">
        <v>0</v>
      </c>
      <c r="AG392">
        <v>0</v>
      </c>
      <c r="AH392">
        <v>9.07</v>
      </c>
      <c r="AI392">
        <v>1</v>
      </c>
      <c r="AJ392">
        <v>1</v>
      </c>
      <c r="AK392">
        <v>1</v>
      </c>
      <c r="AL392">
        <v>6.71</v>
      </c>
      <c r="AN392">
        <v>0</v>
      </c>
      <c r="AO392">
        <v>1</v>
      </c>
      <c r="AP392">
        <v>1</v>
      </c>
      <c r="AQ392">
        <v>0</v>
      </c>
      <c r="AR392">
        <v>0</v>
      </c>
      <c r="AS392" t="s">
        <v>6</v>
      </c>
      <c r="AT392">
        <v>1.47</v>
      </c>
      <c r="AU392" t="s">
        <v>443</v>
      </c>
      <c r="AV392">
        <v>1</v>
      </c>
      <c r="AW392">
        <v>2</v>
      </c>
      <c r="AX392">
        <v>16809220</v>
      </c>
      <c r="AY392">
        <v>1</v>
      </c>
      <c r="AZ392">
        <v>0</v>
      </c>
      <c r="BA392">
        <v>366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Y392*Source!I295</f>
        <v>10.584</v>
      </c>
      <c r="CY392">
        <f>AD392</f>
        <v>60.86</v>
      </c>
      <c r="CZ392">
        <f>AH392</f>
        <v>9.07</v>
      </c>
      <c r="DA392">
        <f>AL392</f>
        <v>6.71</v>
      </c>
      <c r="DB392">
        <f>ROUND((ROUND(AT392*CZ392,2)*1.2),2)</f>
        <v>16</v>
      </c>
      <c r="DC392">
        <f>ROUND((ROUND(AT392*AG392,2)*1.2),2)</f>
        <v>0</v>
      </c>
    </row>
    <row r="393" spans="1:107" x14ac:dyDescent="0.2">
      <c r="A393">
        <f>ROW(Source!A295)</f>
        <v>295</v>
      </c>
      <c r="B393">
        <v>16808636</v>
      </c>
      <c r="C393">
        <v>16809211</v>
      </c>
      <c r="D393">
        <v>15430395</v>
      </c>
      <c r="E393">
        <v>1</v>
      </c>
      <c r="F393">
        <v>1</v>
      </c>
      <c r="G393">
        <v>1</v>
      </c>
      <c r="H393">
        <v>1</v>
      </c>
      <c r="I393" t="s">
        <v>709</v>
      </c>
      <c r="J393" t="s">
        <v>6</v>
      </c>
      <c r="K393" t="s">
        <v>710</v>
      </c>
      <c r="L393">
        <v>1191</v>
      </c>
      <c r="N393">
        <v>1013</v>
      </c>
      <c r="O393" t="s">
        <v>708</v>
      </c>
      <c r="P393" t="s">
        <v>708</v>
      </c>
      <c r="Q393">
        <v>1</v>
      </c>
      <c r="W393">
        <v>0</v>
      </c>
      <c r="X393">
        <v>-1417349443</v>
      </c>
      <c r="Y393">
        <v>0.01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1</v>
      </c>
      <c r="AJ393">
        <v>1</v>
      </c>
      <c r="AK393">
        <v>6.71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6</v>
      </c>
      <c r="AT393">
        <v>0.01</v>
      </c>
      <c r="AU393" t="s">
        <v>6</v>
      </c>
      <c r="AV393">
        <v>2</v>
      </c>
      <c r="AW393">
        <v>2</v>
      </c>
      <c r="AX393">
        <v>16809221</v>
      </c>
      <c r="AY393">
        <v>1</v>
      </c>
      <c r="AZ393">
        <v>2048</v>
      </c>
      <c r="BA393">
        <v>367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Y393*Source!I295</f>
        <v>0.06</v>
      </c>
      <c r="CY393">
        <f>AD393</f>
        <v>0</v>
      </c>
      <c r="CZ393">
        <f>AH393</f>
        <v>0</v>
      </c>
      <c r="DA393">
        <f>AL393</f>
        <v>1</v>
      </c>
      <c r="DB393">
        <f>ROUND(ROUND(AT393*CZ393,2),2)</f>
        <v>0</v>
      </c>
      <c r="DC393">
        <f>ROUND(ROUND(AT393*AG393,2),2)</f>
        <v>0</v>
      </c>
    </row>
    <row r="394" spans="1:107" x14ac:dyDescent="0.2">
      <c r="A394">
        <f>ROW(Source!A295)</f>
        <v>295</v>
      </c>
      <c r="B394">
        <v>16808636</v>
      </c>
      <c r="C394">
        <v>16809211</v>
      </c>
      <c r="D394">
        <v>15249073</v>
      </c>
      <c r="E394">
        <v>1</v>
      </c>
      <c r="F394">
        <v>1</v>
      </c>
      <c r="G394">
        <v>1</v>
      </c>
      <c r="H394">
        <v>2</v>
      </c>
      <c r="I394" t="s">
        <v>724</v>
      </c>
      <c r="J394" t="s">
        <v>725</v>
      </c>
      <c r="K394" t="s">
        <v>726</v>
      </c>
      <c r="L394">
        <v>1368</v>
      </c>
      <c r="N394">
        <v>1011</v>
      </c>
      <c r="O394" t="s">
        <v>714</v>
      </c>
      <c r="P394" t="s">
        <v>714</v>
      </c>
      <c r="Q394">
        <v>1</v>
      </c>
      <c r="W394">
        <v>0</v>
      </c>
      <c r="X394">
        <v>1372534845</v>
      </c>
      <c r="Y394">
        <v>1.2E-2</v>
      </c>
      <c r="AA394">
        <v>0</v>
      </c>
      <c r="AB394">
        <v>440.91</v>
      </c>
      <c r="AC394">
        <v>11.6</v>
      </c>
      <c r="AD394">
        <v>0</v>
      </c>
      <c r="AE394">
        <v>0</v>
      </c>
      <c r="AF394">
        <v>65.709999999999994</v>
      </c>
      <c r="AG394">
        <v>11.6</v>
      </c>
      <c r="AH394">
        <v>0</v>
      </c>
      <c r="AI394">
        <v>1</v>
      </c>
      <c r="AJ394">
        <v>6.71</v>
      </c>
      <c r="AK394">
        <v>1</v>
      </c>
      <c r="AL394">
        <v>1</v>
      </c>
      <c r="AN394">
        <v>0</v>
      </c>
      <c r="AO394">
        <v>1</v>
      </c>
      <c r="AP394">
        <v>1</v>
      </c>
      <c r="AQ394">
        <v>0</v>
      </c>
      <c r="AR394">
        <v>0</v>
      </c>
      <c r="AS394" t="s">
        <v>6</v>
      </c>
      <c r="AT394">
        <v>0.01</v>
      </c>
      <c r="AU394" t="s">
        <v>443</v>
      </c>
      <c r="AV394">
        <v>0</v>
      </c>
      <c r="AW394">
        <v>2</v>
      </c>
      <c r="AX394">
        <v>16809222</v>
      </c>
      <c r="AY394">
        <v>1</v>
      </c>
      <c r="AZ394">
        <v>0</v>
      </c>
      <c r="BA394">
        <v>368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Y394*Source!I295</f>
        <v>7.2000000000000008E-2</v>
      </c>
      <c r="CY394">
        <f>AB394</f>
        <v>440.91</v>
      </c>
      <c r="CZ394">
        <f>AF394</f>
        <v>65.709999999999994</v>
      </c>
      <c r="DA394">
        <f>AJ394</f>
        <v>6.71</v>
      </c>
      <c r="DB394">
        <f>ROUND((ROUND(AT394*CZ394,2)*1.2),2)</f>
        <v>0.79</v>
      </c>
      <c r="DC394">
        <f>ROUND((ROUND(AT394*AG394,2)*1.2),2)</f>
        <v>0.14000000000000001</v>
      </c>
    </row>
    <row r="395" spans="1:107" x14ac:dyDescent="0.2">
      <c r="A395">
        <f>ROW(Source!A295)</f>
        <v>295</v>
      </c>
      <c r="B395">
        <v>16808636</v>
      </c>
      <c r="C395">
        <v>16809211</v>
      </c>
      <c r="D395">
        <v>15249377</v>
      </c>
      <c r="E395">
        <v>1</v>
      </c>
      <c r="F395">
        <v>1</v>
      </c>
      <c r="G395">
        <v>1</v>
      </c>
      <c r="H395">
        <v>2</v>
      </c>
      <c r="I395" t="s">
        <v>952</v>
      </c>
      <c r="J395" t="s">
        <v>953</v>
      </c>
      <c r="K395" t="s">
        <v>954</v>
      </c>
      <c r="L395">
        <v>1368</v>
      </c>
      <c r="N395">
        <v>1011</v>
      </c>
      <c r="O395" t="s">
        <v>714</v>
      </c>
      <c r="P395" t="s">
        <v>714</v>
      </c>
      <c r="Q395">
        <v>1</v>
      </c>
      <c r="W395">
        <v>0</v>
      </c>
      <c r="X395">
        <v>-353815937</v>
      </c>
      <c r="Y395">
        <v>0.42</v>
      </c>
      <c r="AA395">
        <v>0</v>
      </c>
      <c r="AB395">
        <v>54.35</v>
      </c>
      <c r="AC395">
        <v>0</v>
      </c>
      <c r="AD395">
        <v>0</v>
      </c>
      <c r="AE395">
        <v>0</v>
      </c>
      <c r="AF395">
        <v>8.1</v>
      </c>
      <c r="AG395">
        <v>0</v>
      </c>
      <c r="AH395">
        <v>0</v>
      </c>
      <c r="AI395">
        <v>1</v>
      </c>
      <c r="AJ395">
        <v>6.71</v>
      </c>
      <c r="AK395">
        <v>1</v>
      </c>
      <c r="AL395">
        <v>1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6</v>
      </c>
      <c r="AT395">
        <v>0.35</v>
      </c>
      <c r="AU395" t="s">
        <v>443</v>
      </c>
      <c r="AV395">
        <v>0</v>
      </c>
      <c r="AW395">
        <v>2</v>
      </c>
      <c r="AX395">
        <v>16809223</v>
      </c>
      <c r="AY395">
        <v>1</v>
      </c>
      <c r="AZ395">
        <v>0</v>
      </c>
      <c r="BA395">
        <v>369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Y395*Source!I295</f>
        <v>2.52</v>
      </c>
      <c r="CY395">
        <f>AB395</f>
        <v>54.35</v>
      </c>
      <c r="CZ395">
        <f>AF395</f>
        <v>8.1</v>
      </c>
      <c r="DA395">
        <f>AJ395</f>
        <v>6.71</v>
      </c>
      <c r="DB395">
        <f>ROUND((ROUND(AT395*CZ395,2)*1.2),2)</f>
        <v>3.41</v>
      </c>
      <c r="DC395">
        <f>ROUND((ROUND(AT395*AG395,2)*1.2),2)</f>
        <v>0</v>
      </c>
    </row>
    <row r="396" spans="1:107" x14ac:dyDescent="0.2">
      <c r="A396">
        <f>ROW(Source!A295)</f>
        <v>295</v>
      </c>
      <c r="B396">
        <v>16808636</v>
      </c>
      <c r="C396">
        <v>16809211</v>
      </c>
      <c r="D396">
        <v>15165267</v>
      </c>
      <c r="E396">
        <v>1</v>
      </c>
      <c r="F396">
        <v>1</v>
      </c>
      <c r="G396">
        <v>1</v>
      </c>
      <c r="H396">
        <v>3</v>
      </c>
      <c r="I396" t="s">
        <v>1020</v>
      </c>
      <c r="J396" t="s">
        <v>1021</v>
      </c>
      <c r="K396" t="s">
        <v>1022</v>
      </c>
      <c r="L396">
        <v>1356</v>
      </c>
      <c r="N396">
        <v>1010</v>
      </c>
      <c r="O396" t="s">
        <v>744</v>
      </c>
      <c r="P396" t="s">
        <v>744</v>
      </c>
      <c r="Q396">
        <v>1000</v>
      </c>
      <c r="W396">
        <v>0</v>
      </c>
      <c r="X396">
        <v>-1705143825</v>
      </c>
      <c r="Y396">
        <v>2E-3</v>
      </c>
      <c r="AA396">
        <v>23149.5</v>
      </c>
      <c r="AB396">
        <v>0</v>
      </c>
      <c r="AC396">
        <v>0</v>
      </c>
      <c r="AD396">
        <v>0</v>
      </c>
      <c r="AE396">
        <v>3450</v>
      </c>
      <c r="AF396">
        <v>0</v>
      </c>
      <c r="AG396">
        <v>0</v>
      </c>
      <c r="AH396">
        <v>0</v>
      </c>
      <c r="AI396">
        <v>6.71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6</v>
      </c>
      <c r="AT396">
        <v>2E-3</v>
      </c>
      <c r="AU396" t="s">
        <v>6</v>
      </c>
      <c r="AV396">
        <v>0</v>
      </c>
      <c r="AW396">
        <v>2</v>
      </c>
      <c r="AX396">
        <v>16809224</v>
      </c>
      <c r="AY396">
        <v>1</v>
      </c>
      <c r="AZ396">
        <v>0</v>
      </c>
      <c r="BA396">
        <v>370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Y396*Source!I295</f>
        <v>1.2E-2</v>
      </c>
      <c r="CY396">
        <f>AA396</f>
        <v>23149.5</v>
      </c>
      <c r="CZ396">
        <f>AE396</f>
        <v>3450</v>
      </c>
      <c r="DA396">
        <f>AI396</f>
        <v>6.71</v>
      </c>
      <c r="DB396">
        <f>ROUND(ROUND(AT396*CZ396,2),2)</f>
        <v>6.9</v>
      </c>
      <c r="DC396">
        <f>ROUND(ROUND(AT396*AG396,2),2)</f>
        <v>0</v>
      </c>
    </row>
    <row r="397" spans="1:107" x14ac:dyDescent="0.2">
      <c r="A397">
        <f>ROW(Source!A295)</f>
        <v>295</v>
      </c>
      <c r="B397">
        <v>16808636</v>
      </c>
      <c r="C397">
        <v>16809211</v>
      </c>
      <c r="D397">
        <v>15168763</v>
      </c>
      <c r="E397">
        <v>1</v>
      </c>
      <c r="F397">
        <v>1</v>
      </c>
      <c r="G397">
        <v>1</v>
      </c>
      <c r="H397">
        <v>3</v>
      </c>
      <c r="I397" t="s">
        <v>1023</v>
      </c>
      <c r="J397" t="s">
        <v>1024</v>
      </c>
      <c r="K397" t="s">
        <v>1025</v>
      </c>
      <c r="L397">
        <v>1348</v>
      </c>
      <c r="N397">
        <v>1009</v>
      </c>
      <c r="O397" t="s">
        <v>104</v>
      </c>
      <c r="P397" t="s">
        <v>104</v>
      </c>
      <c r="Q397">
        <v>1000</v>
      </c>
      <c r="W397">
        <v>0</v>
      </c>
      <c r="X397">
        <v>-1068056325</v>
      </c>
      <c r="Y397">
        <v>1.3999999999999999E-4</v>
      </c>
      <c r="AA397">
        <v>69529.02</v>
      </c>
      <c r="AB397">
        <v>0</v>
      </c>
      <c r="AC397">
        <v>0</v>
      </c>
      <c r="AD397">
        <v>0</v>
      </c>
      <c r="AE397">
        <v>10362</v>
      </c>
      <c r="AF397">
        <v>0</v>
      </c>
      <c r="AG397">
        <v>0</v>
      </c>
      <c r="AH397">
        <v>0</v>
      </c>
      <c r="AI397">
        <v>6.71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6</v>
      </c>
      <c r="AT397">
        <v>1.3999999999999999E-4</v>
      </c>
      <c r="AU397" t="s">
        <v>6</v>
      </c>
      <c r="AV397">
        <v>0</v>
      </c>
      <c r="AW397">
        <v>2</v>
      </c>
      <c r="AX397">
        <v>16809225</v>
      </c>
      <c r="AY397">
        <v>1</v>
      </c>
      <c r="AZ397">
        <v>0</v>
      </c>
      <c r="BA397">
        <v>371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Y397*Source!I295</f>
        <v>8.3999999999999993E-4</v>
      </c>
      <c r="CY397">
        <f>AA397</f>
        <v>69529.02</v>
      </c>
      <c r="CZ397">
        <f>AE397</f>
        <v>10362</v>
      </c>
      <c r="DA397">
        <f>AI397</f>
        <v>6.71</v>
      </c>
      <c r="DB397">
        <f>ROUND(ROUND(AT397*CZ397,2),2)</f>
        <v>1.45</v>
      </c>
      <c r="DC397">
        <f>ROUND(ROUND(AT397*AG397,2),2)</f>
        <v>0</v>
      </c>
    </row>
    <row r="398" spans="1:107" x14ac:dyDescent="0.2">
      <c r="A398">
        <f>ROW(Source!A295)</f>
        <v>295</v>
      </c>
      <c r="B398">
        <v>16808636</v>
      </c>
      <c r="C398">
        <v>16809211</v>
      </c>
      <c r="D398">
        <v>15169923</v>
      </c>
      <c r="E398">
        <v>1</v>
      </c>
      <c r="F398">
        <v>1</v>
      </c>
      <c r="G398">
        <v>1</v>
      </c>
      <c r="H398">
        <v>3</v>
      </c>
      <c r="I398" t="s">
        <v>1026</v>
      </c>
      <c r="J398" t="s">
        <v>1027</v>
      </c>
      <c r="K398" t="s">
        <v>1028</v>
      </c>
      <c r="L398">
        <v>1348</v>
      </c>
      <c r="N398">
        <v>1009</v>
      </c>
      <c r="O398" t="s">
        <v>104</v>
      </c>
      <c r="P398" t="s">
        <v>104</v>
      </c>
      <c r="Q398">
        <v>1000</v>
      </c>
      <c r="W398">
        <v>0</v>
      </c>
      <c r="X398">
        <v>56621460</v>
      </c>
      <c r="Y398">
        <v>1.1000000000000001E-3</v>
      </c>
      <c r="AA398">
        <v>102817.33</v>
      </c>
      <c r="AB398">
        <v>0</v>
      </c>
      <c r="AC398">
        <v>0</v>
      </c>
      <c r="AD398">
        <v>0</v>
      </c>
      <c r="AE398">
        <v>15323</v>
      </c>
      <c r="AF398">
        <v>0</v>
      </c>
      <c r="AG398">
        <v>0</v>
      </c>
      <c r="AH398">
        <v>0</v>
      </c>
      <c r="AI398">
        <v>6.71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6</v>
      </c>
      <c r="AT398">
        <v>1.1000000000000001E-3</v>
      </c>
      <c r="AU398" t="s">
        <v>6</v>
      </c>
      <c r="AV398">
        <v>0</v>
      </c>
      <c r="AW398">
        <v>2</v>
      </c>
      <c r="AX398">
        <v>16809226</v>
      </c>
      <c r="AY398">
        <v>1</v>
      </c>
      <c r="AZ398">
        <v>0</v>
      </c>
      <c r="BA398">
        <v>372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Y398*Source!I295</f>
        <v>6.6E-3</v>
      </c>
      <c r="CY398">
        <f>AA398</f>
        <v>102817.33</v>
      </c>
      <c r="CZ398">
        <f>AE398</f>
        <v>15323</v>
      </c>
      <c r="DA398">
        <f>AI398</f>
        <v>6.71</v>
      </c>
      <c r="DB398">
        <f>ROUND(ROUND(AT398*CZ398,2),2)</f>
        <v>16.86</v>
      </c>
      <c r="DC398">
        <f>ROUND(ROUND(AT398*AG398,2),2)</f>
        <v>0</v>
      </c>
    </row>
    <row r="399" spans="1:107" x14ac:dyDescent="0.2">
      <c r="A399">
        <f>ROW(Source!A295)</f>
        <v>295</v>
      </c>
      <c r="B399">
        <v>16808636</v>
      </c>
      <c r="C399">
        <v>16809211</v>
      </c>
      <c r="D399">
        <v>15210563</v>
      </c>
      <c r="E399">
        <v>1</v>
      </c>
      <c r="F399">
        <v>1</v>
      </c>
      <c r="G399">
        <v>1</v>
      </c>
      <c r="H399">
        <v>3</v>
      </c>
      <c r="I399" t="s">
        <v>625</v>
      </c>
      <c r="J399" t="s">
        <v>627</v>
      </c>
      <c r="K399" t="s">
        <v>626</v>
      </c>
      <c r="L399">
        <v>1354</v>
      </c>
      <c r="N399">
        <v>1010</v>
      </c>
      <c r="O399" t="s">
        <v>350</v>
      </c>
      <c r="P399" t="s">
        <v>350</v>
      </c>
      <c r="Q399">
        <v>1</v>
      </c>
      <c r="W399">
        <v>0</v>
      </c>
      <c r="X399">
        <v>234775077</v>
      </c>
      <c r="Y399">
        <v>1</v>
      </c>
      <c r="AA399">
        <v>182.51</v>
      </c>
      <c r="AB399">
        <v>0</v>
      </c>
      <c r="AC399">
        <v>0</v>
      </c>
      <c r="AD399">
        <v>0</v>
      </c>
      <c r="AE399">
        <v>27.2</v>
      </c>
      <c r="AF399">
        <v>0</v>
      </c>
      <c r="AG399">
        <v>0</v>
      </c>
      <c r="AH399">
        <v>0</v>
      </c>
      <c r="AI399">
        <v>6.71</v>
      </c>
      <c r="AJ399">
        <v>1</v>
      </c>
      <c r="AK399">
        <v>1</v>
      </c>
      <c r="AL399">
        <v>1</v>
      </c>
      <c r="AN399">
        <v>0</v>
      </c>
      <c r="AO399">
        <v>0</v>
      </c>
      <c r="AP399">
        <v>0</v>
      </c>
      <c r="AQ399">
        <v>0</v>
      </c>
      <c r="AR399">
        <v>0</v>
      </c>
      <c r="AS399" t="s">
        <v>6</v>
      </c>
      <c r="AT399">
        <v>1</v>
      </c>
      <c r="AU399" t="s">
        <v>6</v>
      </c>
      <c r="AV399">
        <v>0</v>
      </c>
      <c r="AW399">
        <v>1</v>
      </c>
      <c r="AX399">
        <v>-1</v>
      </c>
      <c r="AY399">
        <v>0</v>
      </c>
      <c r="AZ399">
        <v>0</v>
      </c>
      <c r="BA399" t="s">
        <v>6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Y399*Source!I295</f>
        <v>6</v>
      </c>
      <c r="CY399">
        <f>AA399</f>
        <v>182.51</v>
      </c>
      <c r="CZ399">
        <f>AE399</f>
        <v>27.2</v>
      </c>
      <c r="DA399">
        <f>AI399</f>
        <v>6.71</v>
      </c>
      <c r="DB399">
        <f>ROUND(ROUND(AT399*CZ399,2),2)</f>
        <v>27.2</v>
      </c>
      <c r="DC399">
        <f>ROUND(ROUND(AT399*AG399,2),2)</f>
        <v>0</v>
      </c>
    </row>
    <row r="400" spans="1:107" x14ac:dyDescent="0.2">
      <c r="A400">
        <f>ROW(Source!A297)</f>
        <v>297</v>
      </c>
      <c r="B400">
        <v>16808636</v>
      </c>
      <c r="C400">
        <v>16809230</v>
      </c>
      <c r="D400">
        <v>15435763</v>
      </c>
      <c r="E400">
        <v>1</v>
      </c>
      <c r="F400">
        <v>1</v>
      </c>
      <c r="G400">
        <v>1</v>
      </c>
      <c r="H400">
        <v>1</v>
      </c>
      <c r="I400" t="s">
        <v>1029</v>
      </c>
      <c r="J400" t="s">
        <v>6</v>
      </c>
      <c r="K400" t="s">
        <v>1030</v>
      </c>
      <c r="L400">
        <v>1191</v>
      </c>
      <c r="N400">
        <v>1013</v>
      </c>
      <c r="O400" t="s">
        <v>708</v>
      </c>
      <c r="P400" t="s">
        <v>708</v>
      </c>
      <c r="Q400">
        <v>1</v>
      </c>
      <c r="W400">
        <v>0</v>
      </c>
      <c r="X400">
        <v>1627947075</v>
      </c>
      <c r="Y400">
        <v>2.5079999999999996</v>
      </c>
      <c r="AA400">
        <v>0</v>
      </c>
      <c r="AB400">
        <v>0</v>
      </c>
      <c r="AC400">
        <v>0</v>
      </c>
      <c r="AD400">
        <v>69.45</v>
      </c>
      <c r="AE400">
        <v>0</v>
      </c>
      <c r="AF400">
        <v>0</v>
      </c>
      <c r="AG400">
        <v>0</v>
      </c>
      <c r="AH400">
        <v>10.35</v>
      </c>
      <c r="AI400">
        <v>1</v>
      </c>
      <c r="AJ400">
        <v>1</v>
      </c>
      <c r="AK400">
        <v>1</v>
      </c>
      <c r="AL400">
        <v>6.71</v>
      </c>
      <c r="AN400">
        <v>0</v>
      </c>
      <c r="AO400">
        <v>1</v>
      </c>
      <c r="AP400">
        <v>1</v>
      </c>
      <c r="AQ400">
        <v>0</v>
      </c>
      <c r="AR400">
        <v>0</v>
      </c>
      <c r="AS400" t="s">
        <v>6</v>
      </c>
      <c r="AT400">
        <v>2.09</v>
      </c>
      <c r="AU400" t="s">
        <v>443</v>
      </c>
      <c r="AV400">
        <v>1</v>
      </c>
      <c r="AW400">
        <v>2</v>
      </c>
      <c r="AX400">
        <v>16809248</v>
      </c>
      <c r="AY400">
        <v>1</v>
      </c>
      <c r="AZ400">
        <v>0</v>
      </c>
      <c r="BA400">
        <v>375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Y400*Source!I297</f>
        <v>7.5239999999999991</v>
      </c>
      <c r="CY400">
        <f>AD400</f>
        <v>69.45</v>
      </c>
      <c r="CZ400">
        <f>AH400</f>
        <v>10.35</v>
      </c>
      <c r="DA400">
        <f>AL400</f>
        <v>6.71</v>
      </c>
      <c r="DB400">
        <f>ROUND((ROUND(AT400*CZ400,2)*1.2),2)</f>
        <v>25.96</v>
      </c>
      <c r="DC400">
        <f>ROUND((ROUND(AT400*AG400,2)*1.2),2)</f>
        <v>0</v>
      </c>
    </row>
    <row r="401" spans="1:107" x14ac:dyDescent="0.2">
      <c r="A401">
        <f>ROW(Source!A297)</f>
        <v>297</v>
      </c>
      <c r="B401">
        <v>16808636</v>
      </c>
      <c r="C401">
        <v>16809230</v>
      </c>
      <c r="D401">
        <v>15249377</v>
      </c>
      <c r="E401">
        <v>1</v>
      </c>
      <c r="F401">
        <v>1</v>
      </c>
      <c r="G401">
        <v>1</v>
      </c>
      <c r="H401">
        <v>2</v>
      </c>
      <c r="I401" t="s">
        <v>952</v>
      </c>
      <c r="J401" t="s">
        <v>953</v>
      </c>
      <c r="K401" t="s">
        <v>954</v>
      </c>
      <c r="L401">
        <v>1368</v>
      </c>
      <c r="N401">
        <v>1011</v>
      </c>
      <c r="O401" t="s">
        <v>714</v>
      </c>
      <c r="P401" t="s">
        <v>714</v>
      </c>
      <c r="Q401">
        <v>1</v>
      </c>
      <c r="W401">
        <v>0</v>
      </c>
      <c r="X401">
        <v>-353815937</v>
      </c>
      <c r="Y401">
        <v>7.1999999999999995E-2</v>
      </c>
      <c r="AA401">
        <v>0</v>
      </c>
      <c r="AB401">
        <v>54.35</v>
      </c>
      <c r="AC401">
        <v>0</v>
      </c>
      <c r="AD401">
        <v>0</v>
      </c>
      <c r="AE401">
        <v>0</v>
      </c>
      <c r="AF401">
        <v>8.1</v>
      </c>
      <c r="AG401">
        <v>0</v>
      </c>
      <c r="AH401">
        <v>0</v>
      </c>
      <c r="AI401">
        <v>1</v>
      </c>
      <c r="AJ401">
        <v>6.71</v>
      </c>
      <c r="AK401">
        <v>1</v>
      </c>
      <c r="AL401">
        <v>1</v>
      </c>
      <c r="AN401">
        <v>0</v>
      </c>
      <c r="AO401">
        <v>1</v>
      </c>
      <c r="AP401">
        <v>1</v>
      </c>
      <c r="AQ401">
        <v>0</v>
      </c>
      <c r="AR401">
        <v>0</v>
      </c>
      <c r="AS401" t="s">
        <v>6</v>
      </c>
      <c r="AT401">
        <v>0.06</v>
      </c>
      <c r="AU401" t="s">
        <v>443</v>
      </c>
      <c r="AV401">
        <v>0</v>
      </c>
      <c r="AW401">
        <v>2</v>
      </c>
      <c r="AX401">
        <v>16809249</v>
      </c>
      <c r="AY401">
        <v>1</v>
      </c>
      <c r="AZ401">
        <v>0</v>
      </c>
      <c r="BA401">
        <v>376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Y401*Source!I297</f>
        <v>0.21599999999999997</v>
      </c>
      <c r="CY401">
        <f>AB401</f>
        <v>54.35</v>
      </c>
      <c r="CZ401">
        <f>AF401</f>
        <v>8.1</v>
      </c>
      <c r="DA401">
        <f>AJ401</f>
        <v>6.71</v>
      </c>
      <c r="DB401">
        <f>ROUND((ROUND(AT401*CZ401,2)*1.2),2)</f>
        <v>0.59</v>
      </c>
      <c r="DC401">
        <f>ROUND((ROUND(AT401*AG401,2)*1.2),2)</f>
        <v>0</v>
      </c>
    </row>
    <row r="402" spans="1:107" x14ac:dyDescent="0.2">
      <c r="A402">
        <f>ROW(Source!A297)</f>
        <v>297</v>
      </c>
      <c r="B402">
        <v>16808636</v>
      </c>
      <c r="C402">
        <v>16809230</v>
      </c>
      <c r="D402">
        <v>15250043</v>
      </c>
      <c r="E402">
        <v>1</v>
      </c>
      <c r="F402">
        <v>1</v>
      </c>
      <c r="G402">
        <v>1</v>
      </c>
      <c r="H402">
        <v>2</v>
      </c>
      <c r="I402" t="s">
        <v>1031</v>
      </c>
      <c r="J402" t="s">
        <v>1032</v>
      </c>
      <c r="K402" t="s">
        <v>1033</v>
      </c>
      <c r="L402">
        <v>1368</v>
      </c>
      <c r="N402">
        <v>1011</v>
      </c>
      <c r="O402" t="s">
        <v>714</v>
      </c>
      <c r="P402" t="s">
        <v>714</v>
      </c>
      <c r="Q402">
        <v>1</v>
      </c>
      <c r="W402">
        <v>0</v>
      </c>
      <c r="X402">
        <v>-995250510</v>
      </c>
      <c r="Y402">
        <v>0.108</v>
      </c>
      <c r="AA402">
        <v>0</v>
      </c>
      <c r="AB402">
        <v>7.45</v>
      </c>
      <c r="AC402">
        <v>0</v>
      </c>
      <c r="AD402">
        <v>0</v>
      </c>
      <c r="AE402">
        <v>0</v>
      </c>
      <c r="AF402">
        <v>1.1100000000000001</v>
      </c>
      <c r="AG402">
        <v>0</v>
      </c>
      <c r="AH402">
        <v>0</v>
      </c>
      <c r="AI402">
        <v>1</v>
      </c>
      <c r="AJ402">
        <v>6.71</v>
      </c>
      <c r="AK402">
        <v>1</v>
      </c>
      <c r="AL402">
        <v>1</v>
      </c>
      <c r="AN402">
        <v>0</v>
      </c>
      <c r="AO402">
        <v>1</v>
      </c>
      <c r="AP402">
        <v>1</v>
      </c>
      <c r="AQ402">
        <v>0</v>
      </c>
      <c r="AR402">
        <v>0</v>
      </c>
      <c r="AS402" t="s">
        <v>6</v>
      </c>
      <c r="AT402">
        <v>0.09</v>
      </c>
      <c r="AU402" t="s">
        <v>443</v>
      </c>
      <c r="AV402">
        <v>0</v>
      </c>
      <c r="AW402">
        <v>2</v>
      </c>
      <c r="AX402">
        <v>16809250</v>
      </c>
      <c r="AY402">
        <v>1</v>
      </c>
      <c r="AZ402">
        <v>0</v>
      </c>
      <c r="BA402">
        <v>377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Y402*Source!I297</f>
        <v>0.32400000000000001</v>
      </c>
      <c r="CY402">
        <f>AB402</f>
        <v>7.45</v>
      </c>
      <c r="CZ402">
        <f>AF402</f>
        <v>1.1100000000000001</v>
      </c>
      <c r="DA402">
        <f>AJ402</f>
        <v>6.71</v>
      </c>
      <c r="DB402">
        <f>ROUND((ROUND(AT402*CZ402,2)*1.2),2)</f>
        <v>0.12</v>
      </c>
      <c r="DC402">
        <f>ROUND((ROUND(AT402*AG402,2)*1.2),2)</f>
        <v>0</v>
      </c>
    </row>
    <row r="403" spans="1:107" x14ac:dyDescent="0.2">
      <c r="A403">
        <f>ROW(Source!A297)</f>
        <v>297</v>
      </c>
      <c r="B403">
        <v>16808636</v>
      </c>
      <c r="C403">
        <v>16809230</v>
      </c>
      <c r="D403">
        <v>15165537</v>
      </c>
      <c r="E403">
        <v>1</v>
      </c>
      <c r="F403">
        <v>1</v>
      </c>
      <c r="G403">
        <v>1</v>
      </c>
      <c r="H403">
        <v>3</v>
      </c>
      <c r="I403" t="s">
        <v>964</v>
      </c>
      <c r="J403" t="s">
        <v>965</v>
      </c>
      <c r="K403" t="s">
        <v>966</v>
      </c>
      <c r="L403">
        <v>1346</v>
      </c>
      <c r="N403">
        <v>1009</v>
      </c>
      <c r="O403" t="s">
        <v>300</v>
      </c>
      <c r="P403" t="s">
        <v>300</v>
      </c>
      <c r="Q403">
        <v>1</v>
      </c>
      <c r="W403">
        <v>0</v>
      </c>
      <c r="X403">
        <v>618806536</v>
      </c>
      <c r="Y403">
        <v>6.0000000000000001E-3</v>
      </c>
      <c r="AA403">
        <v>301.75</v>
      </c>
      <c r="AB403">
        <v>0</v>
      </c>
      <c r="AC403">
        <v>0</v>
      </c>
      <c r="AD403">
        <v>0</v>
      </c>
      <c r="AE403">
        <v>44.97</v>
      </c>
      <c r="AF403">
        <v>0</v>
      </c>
      <c r="AG403">
        <v>0</v>
      </c>
      <c r="AH403">
        <v>0</v>
      </c>
      <c r="AI403">
        <v>6.71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6</v>
      </c>
      <c r="AT403">
        <v>6.0000000000000001E-3</v>
      </c>
      <c r="AU403" t="s">
        <v>6</v>
      </c>
      <c r="AV403">
        <v>0</v>
      </c>
      <c r="AW403">
        <v>2</v>
      </c>
      <c r="AX403">
        <v>16809251</v>
      </c>
      <c r="AY403">
        <v>1</v>
      </c>
      <c r="AZ403">
        <v>0</v>
      </c>
      <c r="BA403">
        <v>378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Y403*Source!I297</f>
        <v>1.8000000000000002E-2</v>
      </c>
      <c r="CY403">
        <f t="shared" ref="CY403:CY415" si="81">AA403</f>
        <v>301.75</v>
      </c>
      <c r="CZ403">
        <f t="shared" ref="CZ403:CZ415" si="82">AE403</f>
        <v>44.97</v>
      </c>
      <c r="DA403">
        <f t="shared" ref="DA403:DA415" si="83">AI403</f>
        <v>6.71</v>
      </c>
      <c r="DB403">
        <f t="shared" ref="DB403:DB415" si="84">ROUND(ROUND(AT403*CZ403,2),2)</f>
        <v>0.27</v>
      </c>
      <c r="DC403">
        <f t="shared" ref="DC403:DC415" si="85">ROUND(ROUND(AT403*AG403,2),2)</f>
        <v>0</v>
      </c>
    </row>
    <row r="404" spans="1:107" x14ac:dyDescent="0.2">
      <c r="A404">
        <f>ROW(Source!A297)</f>
        <v>297</v>
      </c>
      <c r="B404">
        <v>16808636</v>
      </c>
      <c r="C404">
        <v>16809230</v>
      </c>
      <c r="D404">
        <v>15167269</v>
      </c>
      <c r="E404">
        <v>1</v>
      </c>
      <c r="F404">
        <v>1</v>
      </c>
      <c r="G404">
        <v>1</v>
      </c>
      <c r="H404">
        <v>3</v>
      </c>
      <c r="I404" t="s">
        <v>967</v>
      </c>
      <c r="J404" t="s">
        <v>968</v>
      </c>
      <c r="K404" t="s">
        <v>969</v>
      </c>
      <c r="L404">
        <v>1346</v>
      </c>
      <c r="N404">
        <v>1009</v>
      </c>
      <c r="O404" t="s">
        <v>300</v>
      </c>
      <c r="P404" t="s">
        <v>300</v>
      </c>
      <c r="Q404">
        <v>1</v>
      </c>
      <c r="W404">
        <v>0</v>
      </c>
      <c r="X404">
        <v>56922527</v>
      </c>
      <c r="Y404">
        <v>2E-3</v>
      </c>
      <c r="AA404">
        <v>77.17</v>
      </c>
      <c r="AB404">
        <v>0</v>
      </c>
      <c r="AC404">
        <v>0</v>
      </c>
      <c r="AD404">
        <v>0</v>
      </c>
      <c r="AE404">
        <v>11.5</v>
      </c>
      <c r="AF404">
        <v>0</v>
      </c>
      <c r="AG404">
        <v>0</v>
      </c>
      <c r="AH404">
        <v>0</v>
      </c>
      <c r="AI404">
        <v>6.71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6</v>
      </c>
      <c r="AT404">
        <v>2E-3</v>
      </c>
      <c r="AU404" t="s">
        <v>6</v>
      </c>
      <c r="AV404">
        <v>0</v>
      </c>
      <c r="AW404">
        <v>2</v>
      </c>
      <c r="AX404">
        <v>16809252</v>
      </c>
      <c r="AY404">
        <v>1</v>
      </c>
      <c r="AZ404">
        <v>0</v>
      </c>
      <c r="BA404">
        <v>379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Y404*Source!I297</f>
        <v>6.0000000000000001E-3</v>
      </c>
      <c r="CY404">
        <f t="shared" si="81"/>
        <v>77.17</v>
      </c>
      <c r="CZ404">
        <f t="shared" si="82"/>
        <v>11.5</v>
      </c>
      <c r="DA404">
        <f t="shared" si="83"/>
        <v>6.71</v>
      </c>
      <c r="DB404">
        <f t="shared" si="84"/>
        <v>0.02</v>
      </c>
      <c r="DC404">
        <f t="shared" si="85"/>
        <v>0</v>
      </c>
    </row>
    <row r="405" spans="1:107" x14ac:dyDescent="0.2">
      <c r="A405">
        <f>ROW(Source!A297)</f>
        <v>297</v>
      </c>
      <c r="B405">
        <v>16808636</v>
      </c>
      <c r="C405">
        <v>16809230</v>
      </c>
      <c r="D405">
        <v>15167588</v>
      </c>
      <c r="E405">
        <v>1</v>
      </c>
      <c r="F405">
        <v>1</v>
      </c>
      <c r="G405">
        <v>1</v>
      </c>
      <c r="H405">
        <v>3</v>
      </c>
      <c r="I405" t="s">
        <v>727</v>
      </c>
      <c r="J405" t="s">
        <v>728</v>
      </c>
      <c r="K405" t="s">
        <v>729</v>
      </c>
      <c r="L405">
        <v>1346</v>
      </c>
      <c r="N405">
        <v>1009</v>
      </c>
      <c r="O405" t="s">
        <v>300</v>
      </c>
      <c r="P405" t="s">
        <v>300</v>
      </c>
      <c r="Q405">
        <v>1</v>
      </c>
      <c r="W405">
        <v>0</v>
      </c>
      <c r="X405">
        <v>-1088866022</v>
      </c>
      <c r="Y405">
        <v>2.4E-2</v>
      </c>
      <c r="AA405">
        <v>203.98</v>
      </c>
      <c r="AB405">
        <v>0</v>
      </c>
      <c r="AC405">
        <v>0</v>
      </c>
      <c r="AD405">
        <v>0</v>
      </c>
      <c r="AE405">
        <v>30.4</v>
      </c>
      <c r="AF405">
        <v>0</v>
      </c>
      <c r="AG405">
        <v>0</v>
      </c>
      <c r="AH405">
        <v>0</v>
      </c>
      <c r="AI405">
        <v>6.71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0</v>
      </c>
      <c r="AQ405">
        <v>0</v>
      </c>
      <c r="AR405">
        <v>0</v>
      </c>
      <c r="AS405" t="s">
        <v>6</v>
      </c>
      <c r="AT405">
        <v>2.4E-2</v>
      </c>
      <c r="AU405" t="s">
        <v>6</v>
      </c>
      <c r="AV405">
        <v>0</v>
      </c>
      <c r="AW405">
        <v>2</v>
      </c>
      <c r="AX405">
        <v>16809253</v>
      </c>
      <c r="AY405">
        <v>1</v>
      </c>
      <c r="AZ405">
        <v>0</v>
      </c>
      <c r="BA405">
        <v>380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Y405*Source!I297</f>
        <v>7.2000000000000008E-2</v>
      </c>
      <c r="CY405">
        <f t="shared" si="81"/>
        <v>203.98</v>
      </c>
      <c r="CZ405">
        <f t="shared" si="82"/>
        <v>30.4</v>
      </c>
      <c r="DA405">
        <f t="shared" si="83"/>
        <v>6.71</v>
      </c>
      <c r="DB405">
        <f t="shared" si="84"/>
        <v>0.73</v>
      </c>
      <c r="DC405">
        <f t="shared" si="85"/>
        <v>0</v>
      </c>
    </row>
    <row r="406" spans="1:107" x14ac:dyDescent="0.2">
      <c r="A406">
        <f>ROW(Source!A297)</f>
        <v>297</v>
      </c>
      <c r="B406">
        <v>16808636</v>
      </c>
      <c r="C406">
        <v>16809230</v>
      </c>
      <c r="D406">
        <v>15168752</v>
      </c>
      <c r="E406">
        <v>1</v>
      </c>
      <c r="F406">
        <v>1</v>
      </c>
      <c r="G406">
        <v>1</v>
      </c>
      <c r="H406">
        <v>3</v>
      </c>
      <c r="I406" t="s">
        <v>955</v>
      </c>
      <c r="J406" t="s">
        <v>956</v>
      </c>
      <c r="K406" t="s">
        <v>957</v>
      </c>
      <c r="L406">
        <v>1346</v>
      </c>
      <c r="N406">
        <v>1009</v>
      </c>
      <c r="O406" t="s">
        <v>300</v>
      </c>
      <c r="P406" t="s">
        <v>300</v>
      </c>
      <c r="Q406">
        <v>1</v>
      </c>
      <c r="W406">
        <v>0</v>
      </c>
      <c r="X406">
        <v>586013393</v>
      </c>
      <c r="Y406">
        <v>7.0000000000000007E-2</v>
      </c>
      <c r="AA406">
        <v>70.92</v>
      </c>
      <c r="AB406">
        <v>0</v>
      </c>
      <c r="AC406">
        <v>0</v>
      </c>
      <c r="AD406">
        <v>0</v>
      </c>
      <c r="AE406">
        <v>10.57</v>
      </c>
      <c r="AF406">
        <v>0</v>
      </c>
      <c r="AG406">
        <v>0</v>
      </c>
      <c r="AH406">
        <v>0</v>
      </c>
      <c r="AI406">
        <v>6.71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0</v>
      </c>
      <c r="AQ406">
        <v>0</v>
      </c>
      <c r="AR406">
        <v>0</v>
      </c>
      <c r="AS406" t="s">
        <v>6</v>
      </c>
      <c r="AT406">
        <v>7.0000000000000007E-2</v>
      </c>
      <c r="AU406" t="s">
        <v>6</v>
      </c>
      <c r="AV406">
        <v>0</v>
      </c>
      <c r="AW406">
        <v>2</v>
      </c>
      <c r="AX406">
        <v>16809254</v>
      </c>
      <c r="AY406">
        <v>1</v>
      </c>
      <c r="AZ406">
        <v>0</v>
      </c>
      <c r="BA406">
        <v>381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Y406*Source!I297</f>
        <v>0.21000000000000002</v>
      </c>
      <c r="CY406">
        <f t="shared" si="81"/>
        <v>70.92</v>
      </c>
      <c r="CZ406">
        <f t="shared" si="82"/>
        <v>10.57</v>
      </c>
      <c r="DA406">
        <f t="shared" si="83"/>
        <v>6.71</v>
      </c>
      <c r="DB406">
        <f t="shared" si="84"/>
        <v>0.74</v>
      </c>
      <c r="DC406">
        <f t="shared" si="85"/>
        <v>0</v>
      </c>
    </row>
    <row r="407" spans="1:107" x14ac:dyDescent="0.2">
      <c r="A407">
        <f>ROW(Source!A297)</f>
        <v>297</v>
      </c>
      <c r="B407">
        <v>16808636</v>
      </c>
      <c r="C407">
        <v>16809230</v>
      </c>
      <c r="D407">
        <v>15169942</v>
      </c>
      <c r="E407">
        <v>1</v>
      </c>
      <c r="F407">
        <v>1</v>
      </c>
      <c r="G407">
        <v>1</v>
      </c>
      <c r="H407">
        <v>3</v>
      </c>
      <c r="I407" t="s">
        <v>730</v>
      </c>
      <c r="J407" t="s">
        <v>731</v>
      </c>
      <c r="K407" t="s">
        <v>732</v>
      </c>
      <c r="L407">
        <v>1346</v>
      </c>
      <c r="N407">
        <v>1009</v>
      </c>
      <c r="O407" t="s">
        <v>300</v>
      </c>
      <c r="P407" t="s">
        <v>300</v>
      </c>
      <c r="Q407">
        <v>1</v>
      </c>
      <c r="W407">
        <v>0</v>
      </c>
      <c r="X407">
        <v>103900845</v>
      </c>
      <c r="Y407">
        <v>0.14000000000000001</v>
      </c>
      <c r="AA407">
        <v>60.66</v>
      </c>
      <c r="AB407">
        <v>0</v>
      </c>
      <c r="AC407">
        <v>0</v>
      </c>
      <c r="AD407">
        <v>0</v>
      </c>
      <c r="AE407">
        <v>9.0399999999999991</v>
      </c>
      <c r="AF407">
        <v>0</v>
      </c>
      <c r="AG407">
        <v>0</v>
      </c>
      <c r="AH407">
        <v>0</v>
      </c>
      <c r="AI407">
        <v>6.71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6</v>
      </c>
      <c r="AT407">
        <v>0.14000000000000001</v>
      </c>
      <c r="AU407" t="s">
        <v>6</v>
      </c>
      <c r="AV407">
        <v>0</v>
      </c>
      <c r="AW407">
        <v>2</v>
      </c>
      <c r="AX407">
        <v>16809255</v>
      </c>
      <c r="AY407">
        <v>1</v>
      </c>
      <c r="AZ407">
        <v>0</v>
      </c>
      <c r="BA407">
        <v>382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Y407*Source!I297</f>
        <v>0.42000000000000004</v>
      </c>
      <c r="CY407">
        <f t="shared" si="81"/>
        <v>60.66</v>
      </c>
      <c r="CZ407">
        <f t="shared" si="82"/>
        <v>9.0399999999999991</v>
      </c>
      <c r="DA407">
        <f t="shared" si="83"/>
        <v>6.71</v>
      </c>
      <c r="DB407">
        <f t="shared" si="84"/>
        <v>1.27</v>
      </c>
      <c r="DC407">
        <f t="shared" si="85"/>
        <v>0</v>
      </c>
    </row>
    <row r="408" spans="1:107" x14ac:dyDescent="0.2">
      <c r="A408">
        <f>ROW(Source!A297)</f>
        <v>297</v>
      </c>
      <c r="B408">
        <v>16808636</v>
      </c>
      <c r="C408">
        <v>16809230</v>
      </c>
      <c r="D408">
        <v>15170074</v>
      </c>
      <c r="E408">
        <v>1</v>
      </c>
      <c r="F408">
        <v>1</v>
      </c>
      <c r="G408">
        <v>1</v>
      </c>
      <c r="H408">
        <v>3</v>
      </c>
      <c r="I408" t="s">
        <v>946</v>
      </c>
      <c r="J408" t="s">
        <v>947</v>
      </c>
      <c r="K408" t="s">
        <v>948</v>
      </c>
      <c r="L408">
        <v>1355</v>
      </c>
      <c r="N408">
        <v>1010</v>
      </c>
      <c r="O408" t="s">
        <v>326</v>
      </c>
      <c r="P408" t="s">
        <v>326</v>
      </c>
      <c r="Q408">
        <v>100</v>
      </c>
      <c r="W408">
        <v>0</v>
      </c>
      <c r="X408">
        <v>1794244060</v>
      </c>
      <c r="Y408">
        <v>7.0000000000000001E-3</v>
      </c>
      <c r="AA408">
        <v>577.05999999999995</v>
      </c>
      <c r="AB408">
        <v>0</v>
      </c>
      <c r="AC408">
        <v>0</v>
      </c>
      <c r="AD408">
        <v>0</v>
      </c>
      <c r="AE408">
        <v>86</v>
      </c>
      <c r="AF408">
        <v>0</v>
      </c>
      <c r="AG408">
        <v>0</v>
      </c>
      <c r="AH408">
        <v>0</v>
      </c>
      <c r="AI408">
        <v>6.71</v>
      </c>
      <c r="AJ408">
        <v>1</v>
      </c>
      <c r="AK408">
        <v>1</v>
      </c>
      <c r="AL408">
        <v>1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6</v>
      </c>
      <c r="AT408">
        <v>7.0000000000000001E-3</v>
      </c>
      <c r="AU408" t="s">
        <v>6</v>
      </c>
      <c r="AV408">
        <v>0</v>
      </c>
      <c r="AW408">
        <v>2</v>
      </c>
      <c r="AX408">
        <v>16809256</v>
      </c>
      <c r="AY408">
        <v>1</v>
      </c>
      <c r="AZ408">
        <v>0</v>
      </c>
      <c r="BA408">
        <v>383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Y408*Source!I297</f>
        <v>2.1000000000000001E-2</v>
      </c>
      <c r="CY408">
        <f t="shared" si="81"/>
        <v>577.05999999999995</v>
      </c>
      <c r="CZ408">
        <f t="shared" si="82"/>
        <v>86</v>
      </c>
      <c r="DA408">
        <f t="shared" si="83"/>
        <v>6.71</v>
      </c>
      <c r="DB408">
        <f t="shared" si="84"/>
        <v>0.6</v>
      </c>
      <c r="DC408">
        <f t="shared" si="85"/>
        <v>0</v>
      </c>
    </row>
    <row r="409" spans="1:107" x14ac:dyDescent="0.2">
      <c r="A409">
        <f>ROW(Source!A297)</f>
        <v>297</v>
      </c>
      <c r="B409">
        <v>16808636</v>
      </c>
      <c r="C409">
        <v>16809230</v>
      </c>
      <c r="D409">
        <v>15170994</v>
      </c>
      <c r="E409">
        <v>1</v>
      </c>
      <c r="F409">
        <v>1</v>
      </c>
      <c r="G409">
        <v>1</v>
      </c>
      <c r="H409">
        <v>3</v>
      </c>
      <c r="I409" t="s">
        <v>970</v>
      </c>
      <c r="J409" t="s">
        <v>971</v>
      </c>
      <c r="K409" t="s">
        <v>972</v>
      </c>
      <c r="L409">
        <v>1346</v>
      </c>
      <c r="N409">
        <v>1009</v>
      </c>
      <c r="O409" t="s">
        <v>300</v>
      </c>
      <c r="P409" t="s">
        <v>300</v>
      </c>
      <c r="Q409">
        <v>1</v>
      </c>
      <c r="W409">
        <v>0</v>
      </c>
      <c r="X409">
        <v>-856710481</v>
      </c>
      <c r="Y409">
        <v>2E-3</v>
      </c>
      <c r="AA409">
        <v>892.77</v>
      </c>
      <c r="AB409">
        <v>0</v>
      </c>
      <c r="AC409">
        <v>0</v>
      </c>
      <c r="AD409">
        <v>0</v>
      </c>
      <c r="AE409">
        <v>133.05000000000001</v>
      </c>
      <c r="AF409">
        <v>0</v>
      </c>
      <c r="AG409">
        <v>0</v>
      </c>
      <c r="AH409">
        <v>0</v>
      </c>
      <c r="AI409">
        <v>6.71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6</v>
      </c>
      <c r="AT409">
        <v>2E-3</v>
      </c>
      <c r="AU409" t="s">
        <v>6</v>
      </c>
      <c r="AV409">
        <v>0</v>
      </c>
      <c r="AW409">
        <v>2</v>
      </c>
      <c r="AX409">
        <v>16809257</v>
      </c>
      <c r="AY409">
        <v>1</v>
      </c>
      <c r="AZ409">
        <v>0</v>
      </c>
      <c r="BA409">
        <v>384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Y409*Source!I297</f>
        <v>6.0000000000000001E-3</v>
      </c>
      <c r="CY409">
        <f t="shared" si="81"/>
        <v>892.77</v>
      </c>
      <c r="CZ409">
        <f t="shared" si="82"/>
        <v>133.05000000000001</v>
      </c>
      <c r="DA409">
        <f t="shared" si="83"/>
        <v>6.71</v>
      </c>
      <c r="DB409">
        <f t="shared" si="84"/>
        <v>0.27</v>
      </c>
      <c r="DC409">
        <f t="shared" si="85"/>
        <v>0</v>
      </c>
    </row>
    <row r="410" spans="1:107" x14ac:dyDescent="0.2">
      <c r="A410">
        <f>ROW(Source!A297)</f>
        <v>297</v>
      </c>
      <c r="B410">
        <v>16808636</v>
      </c>
      <c r="C410">
        <v>16809230</v>
      </c>
      <c r="D410">
        <v>15188647</v>
      </c>
      <c r="E410">
        <v>1</v>
      </c>
      <c r="F410">
        <v>1</v>
      </c>
      <c r="G410">
        <v>1</v>
      </c>
      <c r="H410">
        <v>3</v>
      </c>
      <c r="I410" t="s">
        <v>973</v>
      </c>
      <c r="J410" t="s">
        <v>974</v>
      </c>
      <c r="K410" t="s">
        <v>975</v>
      </c>
      <c r="L410">
        <v>1348</v>
      </c>
      <c r="N410">
        <v>1009</v>
      </c>
      <c r="O410" t="s">
        <v>104</v>
      </c>
      <c r="P410" t="s">
        <v>104</v>
      </c>
      <c r="Q410">
        <v>1000</v>
      </c>
      <c r="W410">
        <v>0</v>
      </c>
      <c r="X410">
        <v>426000481</v>
      </c>
      <c r="Y410">
        <v>3.0000000000000001E-3</v>
      </c>
      <c r="AA410">
        <v>77165</v>
      </c>
      <c r="AB410">
        <v>0</v>
      </c>
      <c r="AC410">
        <v>0</v>
      </c>
      <c r="AD410">
        <v>0</v>
      </c>
      <c r="AE410">
        <v>11500</v>
      </c>
      <c r="AF410">
        <v>0</v>
      </c>
      <c r="AG410">
        <v>0</v>
      </c>
      <c r="AH410">
        <v>0</v>
      </c>
      <c r="AI410">
        <v>6.71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6</v>
      </c>
      <c r="AT410">
        <v>3.0000000000000001E-3</v>
      </c>
      <c r="AU410" t="s">
        <v>6</v>
      </c>
      <c r="AV410">
        <v>0</v>
      </c>
      <c r="AW410">
        <v>2</v>
      </c>
      <c r="AX410">
        <v>16809258</v>
      </c>
      <c r="AY410">
        <v>1</v>
      </c>
      <c r="AZ410">
        <v>0</v>
      </c>
      <c r="BA410">
        <v>385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Y410*Source!I297</f>
        <v>9.0000000000000011E-3</v>
      </c>
      <c r="CY410">
        <f t="shared" si="81"/>
        <v>77165</v>
      </c>
      <c r="CZ410">
        <f t="shared" si="82"/>
        <v>11500</v>
      </c>
      <c r="DA410">
        <f t="shared" si="83"/>
        <v>6.71</v>
      </c>
      <c r="DB410">
        <f t="shared" si="84"/>
        <v>34.5</v>
      </c>
      <c r="DC410">
        <f t="shared" si="85"/>
        <v>0</v>
      </c>
    </row>
    <row r="411" spans="1:107" x14ac:dyDescent="0.2">
      <c r="A411">
        <f>ROW(Source!A297)</f>
        <v>297</v>
      </c>
      <c r="B411">
        <v>16808636</v>
      </c>
      <c r="C411">
        <v>16809230</v>
      </c>
      <c r="D411">
        <v>15203834</v>
      </c>
      <c r="E411">
        <v>1</v>
      </c>
      <c r="F411">
        <v>1</v>
      </c>
      <c r="G411">
        <v>1</v>
      </c>
      <c r="H411">
        <v>3</v>
      </c>
      <c r="I411" t="s">
        <v>932</v>
      </c>
      <c r="J411" t="s">
        <v>933</v>
      </c>
      <c r="K411" t="s">
        <v>934</v>
      </c>
      <c r="L411">
        <v>1346</v>
      </c>
      <c r="N411">
        <v>1009</v>
      </c>
      <c r="O411" t="s">
        <v>300</v>
      </c>
      <c r="P411" t="s">
        <v>300</v>
      </c>
      <c r="Q411">
        <v>1</v>
      </c>
      <c r="W411">
        <v>0</v>
      </c>
      <c r="X411">
        <v>210558753</v>
      </c>
      <c r="Y411">
        <v>1.7999999999999999E-2</v>
      </c>
      <c r="AA411">
        <v>191.91</v>
      </c>
      <c r="AB411">
        <v>0</v>
      </c>
      <c r="AC411">
        <v>0</v>
      </c>
      <c r="AD411">
        <v>0</v>
      </c>
      <c r="AE411">
        <v>28.6</v>
      </c>
      <c r="AF411">
        <v>0</v>
      </c>
      <c r="AG411">
        <v>0</v>
      </c>
      <c r="AH411">
        <v>0</v>
      </c>
      <c r="AI411">
        <v>6.71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6</v>
      </c>
      <c r="AT411">
        <v>1.7999999999999999E-2</v>
      </c>
      <c r="AU411" t="s">
        <v>6</v>
      </c>
      <c r="AV411">
        <v>0</v>
      </c>
      <c r="AW411">
        <v>2</v>
      </c>
      <c r="AX411">
        <v>16809259</v>
      </c>
      <c r="AY411">
        <v>1</v>
      </c>
      <c r="AZ411">
        <v>0</v>
      </c>
      <c r="BA411">
        <v>386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Y411*Source!I297</f>
        <v>5.3999999999999992E-2</v>
      </c>
      <c r="CY411">
        <f t="shared" si="81"/>
        <v>191.91</v>
      </c>
      <c r="CZ411">
        <f t="shared" si="82"/>
        <v>28.6</v>
      </c>
      <c r="DA411">
        <f t="shared" si="83"/>
        <v>6.71</v>
      </c>
      <c r="DB411">
        <f t="shared" si="84"/>
        <v>0.51</v>
      </c>
      <c r="DC411">
        <f t="shared" si="85"/>
        <v>0</v>
      </c>
    </row>
    <row r="412" spans="1:107" x14ac:dyDescent="0.2">
      <c r="A412">
        <f>ROW(Source!A297)</f>
        <v>297</v>
      </c>
      <c r="B412">
        <v>16808636</v>
      </c>
      <c r="C412">
        <v>16809230</v>
      </c>
      <c r="D412">
        <v>15203987</v>
      </c>
      <c r="E412">
        <v>1</v>
      </c>
      <c r="F412">
        <v>1</v>
      </c>
      <c r="G412">
        <v>1</v>
      </c>
      <c r="H412">
        <v>3</v>
      </c>
      <c r="I412" t="s">
        <v>976</v>
      </c>
      <c r="J412" t="s">
        <v>977</v>
      </c>
      <c r="K412" t="s">
        <v>978</v>
      </c>
      <c r="L412">
        <v>1346</v>
      </c>
      <c r="N412">
        <v>1009</v>
      </c>
      <c r="O412" t="s">
        <v>300</v>
      </c>
      <c r="P412" t="s">
        <v>300</v>
      </c>
      <c r="Q412">
        <v>1</v>
      </c>
      <c r="W412">
        <v>0</v>
      </c>
      <c r="X412">
        <v>-1274984028</v>
      </c>
      <c r="Y412">
        <v>8.9999999999999993E-3</v>
      </c>
      <c r="AA412">
        <v>239.08</v>
      </c>
      <c r="AB412">
        <v>0</v>
      </c>
      <c r="AC412">
        <v>0</v>
      </c>
      <c r="AD412">
        <v>0</v>
      </c>
      <c r="AE412">
        <v>35.630000000000003</v>
      </c>
      <c r="AF412">
        <v>0</v>
      </c>
      <c r="AG412">
        <v>0</v>
      </c>
      <c r="AH412">
        <v>0</v>
      </c>
      <c r="AI412">
        <v>6.71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6</v>
      </c>
      <c r="AT412">
        <v>8.9999999999999993E-3</v>
      </c>
      <c r="AU412" t="s">
        <v>6</v>
      </c>
      <c r="AV412">
        <v>0</v>
      </c>
      <c r="AW412">
        <v>2</v>
      </c>
      <c r="AX412">
        <v>16809260</v>
      </c>
      <c r="AY412">
        <v>1</v>
      </c>
      <c r="AZ412">
        <v>0</v>
      </c>
      <c r="BA412">
        <v>387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Y412*Source!I297</f>
        <v>2.6999999999999996E-2</v>
      </c>
      <c r="CY412">
        <f t="shared" si="81"/>
        <v>239.08</v>
      </c>
      <c r="CZ412">
        <f t="shared" si="82"/>
        <v>35.630000000000003</v>
      </c>
      <c r="DA412">
        <f t="shared" si="83"/>
        <v>6.71</v>
      </c>
      <c r="DB412">
        <f t="shared" si="84"/>
        <v>0.32</v>
      </c>
      <c r="DC412">
        <f t="shared" si="85"/>
        <v>0</v>
      </c>
    </row>
    <row r="413" spans="1:107" x14ac:dyDescent="0.2">
      <c r="A413">
        <f>ROW(Source!A297)</f>
        <v>297</v>
      </c>
      <c r="B413">
        <v>16808636</v>
      </c>
      <c r="C413">
        <v>16809230</v>
      </c>
      <c r="D413">
        <v>15217463</v>
      </c>
      <c r="E413">
        <v>1</v>
      </c>
      <c r="F413">
        <v>1</v>
      </c>
      <c r="G413">
        <v>1</v>
      </c>
      <c r="H413">
        <v>3</v>
      </c>
      <c r="I413" t="s">
        <v>979</v>
      </c>
      <c r="J413" t="s">
        <v>980</v>
      </c>
      <c r="K413" t="s">
        <v>981</v>
      </c>
      <c r="L413">
        <v>1358</v>
      </c>
      <c r="N413">
        <v>1010</v>
      </c>
      <c r="O413" t="s">
        <v>512</v>
      </c>
      <c r="P413" t="s">
        <v>512</v>
      </c>
      <c r="Q413">
        <v>10</v>
      </c>
      <c r="W413">
        <v>0</v>
      </c>
      <c r="X413">
        <v>1386890308</v>
      </c>
      <c r="Y413">
        <v>0.1</v>
      </c>
      <c r="AA413">
        <v>261.69</v>
      </c>
      <c r="AB413">
        <v>0</v>
      </c>
      <c r="AC413">
        <v>0</v>
      </c>
      <c r="AD413">
        <v>0</v>
      </c>
      <c r="AE413">
        <v>39</v>
      </c>
      <c r="AF413">
        <v>0</v>
      </c>
      <c r="AG413">
        <v>0</v>
      </c>
      <c r="AH413">
        <v>0</v>
      </c>
      <c r="AI413">
        <v>6.71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6</v>
      </c>
      <c r="AT413">
        <v>0.1</v>
      </c>
      <c r="AU413" t="s">
        <v>6</v>
      </c>
      <c r="AV413">
        <v>0</v>
      </c>
      <c r="AW413">
        <v>2</v>
      </c>
      <c r="AX413">
        <v>16809261</v>
      </c>
      <c r="AY413">
        <v>1</v>
      </c>
      <c r="AZ413">
        <v>0</v>
      </c>
      <c r="BA413">
        <v>388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Y413*Source!I297</f>
        <v>0.30000000000000004</v>
      </c>
      <c r="CY413">
        <f t="shared" si="81"/>
        <v>261.69</v>
      </c>
      <c r="CZ413">
        <f t="shared" si="82"/>
        <v>39</v>
      </c>
      <c r="DA413">
        <f t="shared" si="83"/>
        <v>6.71</v>
      </c>
      <c r="DB413">
        <f t="shared" si="84"/>
        <v>3.9</v>
      </c>
      <c r="DC413">
        <f t="shared" si="85"/>
        <v>0</v>
      </c>
    </row>
    <row r="414" spans="1:107" x14ac:dyDescent="0.2">
      <c r="A414">
        <f>ROW(Source!A297)</f>
        <v>297</v>
      </c>
      <c r="B414">
        <v>16808636</v>
      </c>
      <c r="C414">
        <v>16809230</v>
      </c>
      <c r="D414">
        <v>15242874</v>
      </c>
      <c r="E414">
        <v>1</v>
      </c>
      <c r="F414">
        <v>1</v>
      </c>
      <c r="G414">
        <v>1</v>
      </c>
      <c r="H414">
        <v>3</v>
      </c>
      <c r="I414" t="s">
        <v>634</v>
      </c>
      <c r="J414" t="s">
        <v>636</v>
      </c>
      <c r="K414" t="s">
        <v>635</v>
      </c>
      <c r="L414">
        <v>1354</v>
      </c>
      <c r="N414">
        <v>1010</v>
      </c>
      <c r="O414" t="s">
        <v>350</v>
      </c>
      <c r="P414" t="s">
        <v>350</v>
      </c>
      <c r="Q414">
        <v>1</v>
      </c>
      <c r="W414">
        <v>0</v>
      </c>
      <c r="X414">
        <v>-16897342</v>
      </c>
      <c r="Y414">
        <v>1</v>
      </c>
      <c r="AA414">
        <v>17259.93</v>
      </c>
      <c r="AB414">
        <v>0</v>
      </c>
      <c r="AC414">
        <v>0</v>
      </c>
      <c r="AD414">
        <v>0</v>
      </c>
      <c r="AE414">
        <v>2572.27</v>
      </c>
      <c r="AF414">
        <v>0</v>
      </c>
      <c r="AG414">
        <v>0</v>
      </c>
      <c r="AH414">
        <v>0</v>
      </c>
      <c r="AI414">
        <v>6.71</v>
      </c>
      <c r="AJ414">
        <v>1</v>
      </c>
      <c r="AK414">
        <v>1</v>
      </c>
      <c r="AL414">
        <v>1</v>
      </c>
      <c r="AN414">
        <v>0</v>
      </c>
      <c r="AO414">
        <v>0</v>
      </c>
      <c r="AP414">
        <v>0</v>
      </c>
      <c r="AQ414">
        <v>0</v>
      </c>
      <c r="AR414">
        <v>0</v>
      </c>
      <c r="AS414" t="s">
        <v>6</v>
      </c>
      <c r="AT414">
        <v>1</v>
      </c>
      <c r="AU414" t="s">
        <v>6</v>
      </c>
      <c r="AV414">
        <v>0</v>
      </c>
      <c r="AW414">
        <v>1</v>
      </c>
      <c r="AX414">
        <v>-1</v>
      </c>
      <c r="AY414">
        <v>0</v>
      </c>
      <c r="AZ414">
        <v>0</v>
      </c>
      <c r="BA414" t="s">
        <v>6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Y414*Source!I297</f>
        <v>3</v>
      </c>
      <c r="CY414">
        <f t="shared" si="81"/>
        <v>17259.93</v>
      </c>
      <c r="CZ414">
        <f t="shared" si="82"/>
        <v>2572.27</v>
      </c>
      <c r="DA414">
        <f t="shared" si="83"/>
        <v>6.71</v>
      </c>
      <c r="DB414">
        <f t="shared" si="84"/>
        <v>2572.27</v>
      </c>
      <c r="DC414">
        <f t="shared" si="85"/>
        <v>0</v>
      </c>
    </row>
    <row r="415" spans="1:107" x14ac:dyDescent="0.2">
      <c r="A415">
        <f>ROW(Source!A297)</f>
        <v>297</v>
      </c>
      <c r="B415">
        <v>16808636</v>
      </c>
      <c r="C415">
        <v>16809230</v>
      </c>
      <c r="D415">
        <v>15164559</v>
      </c>
      <c r="E415">
        <v>17</v>
      </c>
      <c r="F415">
        <v>1</v>
      </c>
      <c r="G415">
        <v>1</v>
      </c>
      <c r="H415">
        <v>3</v>
      </c>
      <c r="I415" t="s">
        <v>736</v>
      </c>
      <c r="J415" t="s">
        <v>6</v>
      </c>
      <c r="K415" t="s">
        <v>737</v>
      </c>
      <c r="L415">
        <v>1374</v>
      </c>
      <c r="N415">
        <v>1013</v>
      </c>
      <c r="O415" t="s">
        <v>738</v>
      </c>
      <c r="P415" t="s">
        <v>738</v>
      </c>
      <c r="Q415">
        <v>1</v>
      </c>
      <c r="W415">
        <v>0</v>
      </c>
      <c r="X415">
        <v>-1731369543</v>
      </c>
      <c r="Y415">
        <v>0.43</v>
      </c>
      <c r="AA415">
        <v>1</v>
      </c>
      <c r="AB415">
        <v>0</v>
      </c>
      <c r="AC415">
        <v>0</v>
      </c>
      <c r="AD415">
        <v>0</v>
      </c>
      <c r="AE415">
        <v>1</v>
      </c>
      <c r="AF415">
        <v>0</v>
      </c>
      <c r="AG415">
        <v>0</v>
      </c>
      <c r="AH415">
        <v>0</v>
      </c>
      <c r="AI415">
        <v>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6</v>
      </c>
      <c r="AT415">
        <v>0.43</v>
      </c>
      <c r="AU415" t="s">
        <v>6</v>
      </c>
      <c r="AV415">
        <v>0</v>
      </c>
      <c r="AW415">
        <v>2</v>
      </c>
      <c r="AX415">
        <v>16809262</v>
      </c>
      <c r="AY415">
        <v>1</v>
      </c>
      <c r="AZ415">
        <v>0</v>
      </c>
      <c r="BA415">
        <v>389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Y415*Source!I297</f>
        <v>1.29</v>
      </c>
      <c r="CY415">
        <f t="shared" si="81"/>
        <v>1</v>
      </c>
      <c r="CZ415">
        <f t="shared" si="82"/>
        <v>1</v>
      </c>
      <c r="DA415">
        <f t="shared" si="83"/>
        <v>1</v>
      </c>
      <c r="DB415">
        <f t="shared" si="84"/>
        <v>0.43</v>
      </c>
      <c r="DC415">
        <f t="shared" si="85"/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89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16810121</v>
      </c>
      <c r="C1">
        <v>16810117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706</v>
      </c>
      <c r="J1" t="s">
        <v>6</v>
      </c>
      <c r="K1" t="s">
        <v>707</v>
      </c>
      <c r="L1">
        <v>1191</v>
      </c>
      <c r="N1">
        <v>1013</v>
      </c>
      <c r="O1" t="s">
        <v>708</v>
      </c>
      <c r="P1" t="s">
        <v>708</v>
      </c>
      <c r="Q1">
        <v>1</v>
      </c>
      <c r="X1">
        <v>103.91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6</v>
      </c>
      <c r="AG1">
        <v>103.91</v>
      </c>
      <c r="AH1">
        <v>2</v>
      </c>
      <c r="AI1">
        <v>16810118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16810122</v>
      </c>
      <c r="C2">
        <v>16810117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709</v>
      </c>
      <c r="J2" t="s">
        <v>6</v>
      </c>
      <c r="K2" t="s">
        <v>710</v>
      </c>
      <c r="L2">
        <v>1191</v>
      </c>
      <c r="N2">
        <v>1013</v>
      </c>
      <c r="O2" t="s">
        <v>708</v>
      </c>
      <c r="P2" t="s">
        <v>708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7.74</v>
      </c>
      <c r="AH2">
        <v>2</v>
      </c>
      <c r="AI2">
        <v>16810119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16810123</v>
      </c>
      <c r="C3">
        <v>16810117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711</v>
      </c>
      <c r="J3" t="s">
        <v>712</v>
      </c>
      <c r="K3" t="s">
        <v>713</v>
      </c>
      <c r="L3">
        <v>1368</v>
      </c>
      <c r="N3">
        <v>1011</v>
      </c>
      <c r="O3" t="s">
        <v>714</v>
      </c>
      <c r="P3" t="s">
        <v>714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7.74</v>
      </c>
      <c r="AH3">
        <v>2</v>
      </c>
      <c r="AI3">
        <v>16810120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16810128</v>
      </c>
      <c r="C4">
        <v>16810124</v>
      </c>
      <c r="D4">
        <v>15432010</v>
      </c>
      <c r="E4">
        <v>1</v>
      </c>
      <c r="F4">
        <v>1</v>
      </c>
      <c r="G4">
        <v>1</v>
      </c>
      <c r="H4">
        <v>1</v>
      </c>
      <c r="I4" t="s">
        <v>715</v>
      </c>
      <c r="J4" t="s">
        <v>6</v>
      </c>
      <c r="K4" t="s">
        <v>716</v>
      </c>
      <c r="L4">
        <v>1191</v>
      </c>
      <c r="N4">
        <v>1013</v>
      </c>
      <c r="O4" t="s">
        <v>708</v>
      </c>
      <c r="P4" t="s">
        <v>708</v>
      </c>
      <c r="Q4">
        <v>1</v>
      </c>
      <c r="X4">
        <v>17.89</v>
      </c>
      <c r="Y4">
        <v>0</v>
      </c>
      <c r="Z4">
        <v>0</v>
      </c>
      <c r="AA4">
        <v>0</v>
      </c>
      <c r="AB4">
        <v>8.02</v>
      </c>
      <c r="AC4">
        <v>0</v>
      </c>
      <c r="AD4">
        <v>1</v>
      </c>
      <c r="AE4">
        <v>1</v>
      </c>
      <c r="AF4" t="s">
        <v>6</v>
      </c>
      <c r="AG4">
        <v>17.89</v>
      </c>
      <c r="AH4">
        <v>2</v>
      </c>
      <c r="AI4">
        <v>16810125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16810129</v>
      </c>
      <c r="C5">
        <v>16810124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709</v>
      </c>
      <c r="J5" t="s">
        <v>6</v>
      </c>
      <c r="K5" t="s">
        <v>710</v>
      </c>
      <c r="L5">
        <v>1191</v>
      </c>
      <c r="N5">
        <v>1013</v>
      </c>
      <c r="O5" t="s">
        <v>708</v>
      </c>
      <c r="P5" t="s">
        <v>708</v>
      </c>
      <c r="Q5">
        <v>1</v>
      </c>
      <c r="X5">
        <v>0.08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6</v>
      </c>
      <c r="AG5">
        <v>0.08</v>
      </c>
      <c r="AH5">
        <v>2</v>
      </c>
      <c r="AI5">
        <v>16810126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16810130</v>
      </c>
      <c r="C6">
        <v>16810124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711</v>
      </c>
      <c r="J6" t="s">
        <v>712</v>
      </c>
      <c r="K6" t="s">
        <v>713</v>
      </c>
      <c r="L6">
        <v>1368</v>
      </c>
      <c r="N6">
        <v>1011</v>
      </c>
      <c r="O6" t="s">
        <v>714</v>
      </c>
      <c r="P6" t="s">
        <v>714</v>
      </c>
      <c r="Q6">
        <v>1</v>
      </c>
      <c r="X6">
        <v>0.08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0.08</v>
      </c>
      <c r="AH6">
        <v>2</v>
      </c>
      <c r="AI6">
        <v>16810127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ROW(Source!A30)</f>
        <v>30</v>
      </c>
      <c r="B7">
        <v>16810133</v>
      </c>
      <c r="C7">
        <v>16810131</v>
      </c>
      <c r="D7">
        <v>15430517</v>
      </c>
      <c r="E7">
        <v>1</v>
      </c>
      <c r="F7">
        <v>1</v>
      </c>
      <c r="G7">
        <v>1</v>
      </c>
      <c r="H7">
        <v>1</v>
      </c>
      <c r="I7" t="s">
        <v>717</v>
      </c>
      <c r="J7" t="s">
        <v>6</v>
      </c>
      <c r="K7" t="s">
        <v>718</v>
      </c>
      <c r="L7">
        <v>1191</v>
      </c>
      <c r="N7">
        <v>1013</v>
      </c>
      <c r="O7" t="s">
        <v>708</v>
      </c>
      <c r="P7" t="s">
        <v>708</v>
      </c>
      <c r="Q7">
        <v>1</v>
      </c>
      <c r="X7">
        <v>5.84</v>
      </c>
      <c r="Y7">
        <v>0</v>
      </c>
      <c r="Z7">
        <v>0</v>
      </c>
      <c r="AA7">
        <v>0</v>
      </c>
      <c r="AB7">
        <v>7.8</v>
      </c>
      <c r="AC7">
        <v>0</v>
      </c>
      <c r="AD7">
        <v>1</v>
      </c>
      <c r="AE7">
        <v>1</v>
      </c>
      <c r="AF7" t="s">
        <v>6</v>
      </c>
      <c r="AG7">
        <v>5.84</v>
      </c>
      <c r="AH7">
        <v>2</v>
      </c>
      <c r="AI7">
        <v>16810132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ROW(Source!A31)</f>
        <v>31</v>
      </c>
      <c r="B8">
        <v>16810138</v>
      </c>
      <c r="C8">
        <v>16810134</v>
      </c>
      <c r="D8">
        <v>15430517</v>
      </c>
      <c r="E8">
        <v>1</v>
      </c>
      <c r="F8">
        <v>1</v>
      </c>
      <c r="G8">
        <v>1</v>
      </c>
      <c r="H8">
        <v>1</v>
      </c>
      <c r="I8" t="s">
        <v>717</v>
      </c>
      <c r="J8" t="s">
        <v>6</v>
      </c>
      <c r="K8" t="s">
        <v>718</v>
      </c>
      <c r="L8">
        <v>1191</v>
      </c>
      <c r="N8">
        <v>1013</v>
      </c>
      <c r="O8" t="s">
        <v>708</v>
      </c>
      <c r="P8" t="s">
        <v>708</v>
      </c>
      <c r="Q8">
        <v>1</v>
      </c>
      <c r="X8">
        <v>9.64</v>
      </c>
      <c r="Y8">
        <v>0</v>
      </c>
      <c r="Z8">
        <v>0</v>
      </c>
      <c r="AA8">
        <v>0</v>
      </c>
      <c r="AB8">
        <v>7.8</v>
      </c>
      <c r="AC8">
        <v>0</v>
      </c>
      <c r="AD8">
        <v>1</v>
      </c>
      <c r="AE8">
        <v>1</v>
      </c>
      <c r="AF8" t="s">
        <v>6</v>
      </c>
      <c r="AG8">
        <v>9.64</v>
      </c>
      <c r="AH8">
        <v>2</v>
      </c>
      <c r="AI8">
        <v>16810135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ROW(Source!A31)</f>
        <v>31</v>
      </c>
      <c r="B9">
        <v>16810139</v>
      </c>
      <c r="C9">
        <v>16810134</v>
      </c>
      <c r="D9">
        <v>15430395</v>
      </c>
      <c r="E9">
        <v>1</v>
      </c>
      <c r="F9">
        <v>1</v>
      </c>
      <c r="G9">
        <v>1</v>
      </c>
      <c r="H9">
        <v>1</v>
      </c>
      <c r="I9" t="s">
        <v>709</v>
      </c>
      <c r="J9" t="s">
        <v>6</v>
      </c>
      <c r="K9" t="s">
        <v>710</v>
      </c>
      <c r="L9">
        <v>1191</v>
      </c>
      <c r="N9">
        <v>1013</v>
      </c>
      <c r="O9" t="s">
        <v>708</v>
      </c>
      <c r="P9" t="s">
        <v>708</v>
      </c>
      <c r="Q9">
        <v>1</v>
      </c>
      <c r="X9">
        <v>0.01</v>
      </c>
      <c r="Y9">
        <v>0</v>
      </c>
      <c r="Z9">
        <v>0</v>
      </c>
      <c r="AA9">
        <v>0</v>
      </c>
      <c r="AB9">
        <v>0</v>
      </c>
      <c r="AC9">
        <v>0</v>
      </c>
      <c r="AD9">
        <v>1</v>
      </c>
      <c r="AE9">
        <v>2</v>
      </c>
      <c r="AF9" t="s">
        <v>6</v>
      </c>
      <c r="AG9">
        <v>0.01</v>
      </c>
      <c r="AH9">
        <v>2</v>
      </c>
      <c r="AI9">
        <v>16810136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ROW(Source!A31)</f>
        <v>31</v>
      </c>
      <c r="B10">
        <v>16810140</v>
      </c>
      <c r="C10">
        <v>16810134</v>
      </c>
      <c r="D10">
        <v>15247974</v>
      </c>
      <c r="E10">
        <v>1</v>
      </c>
      <c r="F10">
        <v>1</v>
      </c>
      <c r="G10">
        <v>1</v>
      </c>
      <c r="H10">
        <v>2</v>
      </c>
      <c r="I10" t="s">
        <v>711</v>
      </c>
      <c r="J10" t="s">
        <v>712</v>
      </c>
      <c r="K10" t="s">
        <v>713</v>
      </c>
      <c r="L10">
        <v>1368</v>
      </c>
      <c r="N10">
        <v>1011</v>
      </c>
      <c r="O10" t="s">
        <v>714</v>
      </c>
      <c r="P10" t="s">
        <v>714</v>
      </c>
      <c r="Q10">
        <v>1</v>
      </c>
      <c r="X10">
        <v>0.01</v>
      </c>
      <c r="Y10">
        <v>0</v>
      </c>
      <c r="Z10">
        <v>31.26</v>
      </c>
      <c r="AA10">
        <v>13.5</v>
      </c>
      <c r="AB10">
        <v>0</v>
      </c>
      <c r="AC10">
        <v>0</v>
      </c>
      <c r="AD10">
        <v>1</v>
      </c>
      <c r="AE10">
        <v>0</v>
      </c>
      <c r="AF10" t="s">
        <v>6</v>
      </c>
      <c r="AG10">
        <v>0.01</v>
      </c>
      <c r="AH10">
        <v>2</v>
      </c>
      <c r="AI10">
        <v>16810137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ROW(Source!A32)</f>
        <v>32</v>
      </c>
      <c r="B11">
        <v>16810150</v>
      </c>
      <c r="C11">
        <v>16810141</v>
      </c>
      <c r="D11">
        <v>15442878</v>
      </c>
      <c r="E11">
        <v>1</v>
      </c>
      <c r="F11">
        <v>1</v>
      </c>
      <c r="G11">
        <v>1</v>
      </c>
      <c r="H11">
        <v>1</v>
      </c>
      <c r="I11" t="s">
        <v>719</v>
      </c>
      <c r="J11" t="s">
        <v>6</v>
      </c>
      <c r="K11" t="s">
        <v>720</v>
      </c>
      <c r="L11">
        <v>1191</v>
      </c>
      <c r="N11">
        <v>1013</v>
      </c>
      <c r="O11" t="s">
        <v>708</v>
      </c>
      <c r="P11" t="s">
        <v>708</v>
      </c>
      <c r="Q11">
        <v>1</v>
      </c>
      <c r="X11">
        <v>0.9</v>
      </c>
      <c r="Y11">
        <v>0</v>
      </c>
      <c r="Z11">
        <v>0</v>
      </c>
      <c r="AA11">
        <v>0</v>
      </c>
      <c r="AB11">
        <v>10.5</v>
      </c>
      <c r="AC11">
        <v>0</v>
      </c>
      <c r="AD11">
        <v>1</v>
      </c>
      <c r="AE11">
        <v>1</v>
      </c>
      <c r="AF11" t="s">
        <v>49</v>
      </c>
      <c r="AG11">
        <v>0.27</v>
      </c>
      <c r="AH11">
        <v>2</v>
      </c>
      <c r="AI11">
        <v>16810142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ROW(Source!A32)</f>
        <v>32</v>
      </c>
      <c r="B12">
        <v>16810151</v>
      </c>
      <c r="C12">
        <v>16810141</v>
      </c>
      <c r="D12">
        <v>15430395</v>
      </c>
      <c r="E12">
        <v>1</v>
      </c>
      <c r="F12">
        <v>1</v>
      </c>
      <c r="G12">
        <v>1</v>
      </c>
      <c r="H12">
        <v>1</v>
      </c>
      <c r="I12" t="s">
        <v>709</v>
      </c>
      <c r="J12" t="s">
        <v>6</v>
      </c>
      <c r="K12" t="s">
        <v>710</v>
      </c>
      <c r="L12">
        <v>1191</v>
      </c>
      <c r="N12">
        <v>1013</v>
      </c>
      <c r="O12" t="s">
        <v>708</v>
      </c>
      <c r="P12" t="s">
        <v>708</v>
      </c>
      <c r="Q12">
        <v>1</v>
      </c>
      <c r="X12">
        <v>0.2</v>
      </c>
      <c r="Y12">
        <v>0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2</v>
      </c>
      <c r="AF12" t="s">
        <v>49</v>
      </c>
      <c r="AG12">
        <v>0.06</v>
      </c>
      <c r="AH12">
        <v>2</v>
      </c>
      <c r="AI12">
        <v>16810143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ROW(Source!A32)</f>
        <v>32</v>
      </c>
      <c r="B13">
        <v>16810152</v>
      </c>
      <c r="C13">
        <v>16810141</v>
      </c>
      <c r="D13">
        <v>15247680</v>
      </c>
      <c r="E13">
        <v>1</v>
      </c>
      <c r="F13">
        <v>1</v>
      </c>
      <c r="G13">
        <v>1</v>
      </c>
      <c r="H13">
        <v>2</v>
      </c>
      <c r="I13" t="s">
        <v>721</v>
      </c>
      <c r="J13" t="s">
        <v>722</v>
      </c>
      <c r="K13" t="s">
        <v>723</v>
      </c>
      <c r="L13">
        <v>1368</v>
      </c>
      <c r="N13">
        <v>1011</v>
      </c>
      <c r="O13" t="s">
        <v>714</v>
      </c>
      <c r="P13" t="s">
        <v>714</v>
      </c>
      <c r="Q13">
        <v>1</v>
      </c>
      <c r="X13">
        <v>0.1</v>
      </c>
      <c r="Y13">
        <v>0</v>
      </c>
      <c r="Z13">
        <v>111.99</v>
      </c>
      <c r="AA13">
        <v>13.5</v>
      </c>
      <c r="AB13">
        <v>0</v>
      </c>
      <c r="AC13">
        <v>0</v>
      </c>
      <c r="AD13">
        <v>1</v>
      </c>
      <c r="AE13">
        <v>0</v>
      </c>
      <c r="AF13" t="s">
        <v>49</v>
      </c>
      <c r="AG13">
        <v>0.03</v>
      </c>
      <c r="AH13">
        <v>2</v>
      </c>
      <c r="AI13">
        <v>16810144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ROW(Source!A32)</f>
        <v>32</v>
      </c>
      <c r="B14">
        <v>16810153</v>
      </c>
      <c r="C14">
        <v>16810141</v>
      </c>
      <c r="D14">
        <v>15249073</v>
      </c>
      <c r="E14">
        <v>1</v>
      </c>
      <c r="F14">
        <v>1</v>
      </c>
      <c r="G14">
        <v>1</v>
      </c>
      <c r="H14">
        <v>2</v>
      </c>
      <c r="I14" t="s">
        <v>724</v>
      </c>
      <c r="J14" t="s">
        <v>725</v>
      </c>
      <c r="K14" t="s">
        <v>726</v>
      </c>
      <c r="L14">
        <v>1368</v>
      </c>
      <c r="N14">
        <v>1011</v>
      </c>
      <c r="O14" t="s">
        <v>714</v>
      </c>
      <c r="P14" t="s">
        <v>714</v>
      </c>
      <c r="Q14">
        <v>1</v>
      </c>
      <c r="X14">
        <v>0.1</v>
      </c>
      <c r="Y14">
        <v>0</v>
      </c>
      <c r="Z14">
        <v>65.709999999999994</v>
      </c>
      <c r="AA14">
        <v>11.6</v>
      </c>
      <c r="AB14">
        <v>0</v>
      </c>
      <c r="AC14">
        <v>0</v>
      </c>
      <c r="AD14">
        <v>1</v>
      </c>
      <c r="AE14">
        <v>0</v>
      </c>
      <c r="AF14" t="s">
        <v>49</v>
      </c>
      <c r="AG14">
        <v>0.03</v>
      </c>
      <c r="AH14">
        <v>2</v>
      </c>
      <c r="AI14">
        <v>16810145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ROW(Source!A32)</f>
        <v>32</v>
      </c>
      <c r="B15">
        <v>16810154</v>
      </c>
      <c r="C15">
        <v>16810141</v>
      </c>
      <c r="D15">
        <v>15167588</v>
      </c>
      <c r="E15">
        <v>1</v>
      </c>
      <c r="F15">
        <v>1</v>
      </c>
      <c r="G15">
        <v>1</v>
      </c>
      <c r="H15">
        <v>3</v>
      </c>
      <c r="I15" t="s">
        <v>727</v>
      </c>
      <c r="J15" t="s">
        <v>728</v>
      </c>
      <c r="K15" t="s">
        <v>729</v>
      </c>
      <c r="L15">
        <v>1346</v>
      </c>
      <c r="N15">
        <v>1009</v>
      </c>
      <c r="O15" t="s">
        <v>300</v>
      </c>
      <c r="P15" t="s">
        <v>300</v>
      </c>
      <c r="Q15">
        <v>1</v>
      </c>
      <c r="X15">
        <v>0.01</v>
      </c>
      <c r="Y15">
        <v>30.4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48</v>
      </c>
      <c r="AG15">
        <v>0</v>
      </c>
      <c r="AH15">
        <v>2</v>
      </c>
      <c r="AI15">
        <v>16810146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ROW(Source!A32)</f>
        <v>32</v>
      </c>
      <c r="B16">
        <v>16810155</v>
      </c>
      <c r="C16">
        <v>16810141</v>
      </c>
      <c r="D16">
        <v>15169942</v>
      </c>
      <c r="E16">
        <v>1</v>
      </c>
      <c r="F16">
        <v>1</v>
      </c>
      <c r="G16">
        <v>1</v>
      </c>
      <c r="H16">
        <v>3</v>
      </c>
      <c r="I16" t="s">
        <v>730</v>
      </c>
      <c r="J16" t="s">
        <v>731</v>
      </c>
      <c r="K16" t="s">
        <v>732</v>
      </c>
      <c r="L16">
        <v>1346</v>
      </c>
      <c r="N16">
        <v>1009</v>
      </c>
      <c r="O16" t="s">
        <v>300</v>
      </c>
      <c r="P16" t="s">
        <v>300</v>
      </c>
      <c r="Q16">
        <v>1</v>
      </c>
      <c r="X16">
        <v>0.3</v>
      </c>
      <c r="Y16">
        <v>9.0399999999999991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48</v>
      </c>
      <c r="AG16">
        <v>0</v>
      </c>
      <c r="AH16">
        <v>2</v>
      </c>
      <c r="AI16">
        <v>16810147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ROW(Source!A32)</f>
        <v>32</v>
      </c>
      <c r="B17">
        <v>16810156</v>
      </c>
      <c r="C17">
        <v>16810141</v>
      </c>
      <c r="D17">
        <v>15191488</v>
      </c>
      <c r="E17">
        <v>1</v>
      </c>
      <c r="F17">
        <v>1</v>
      </c>
      <c r="G17">
        <v>1</v>
      </c>
      <c r="H17">
        <v>3</v>
      </c>
      <c r="I17" t="s">
        <v>733</v>
      </c>
      <c r="J17" t="s">
        <v>734</v>
      </c>
      <c r="K17" t="s">
        <v>735</v>
      </c>
      <c r="L17">
        <v>1348</v>
      </c>
      <c r="N17">
        <v>1009</v>
      </c>
      <c r="O17" t="s">
        <v>104</v>
      </c>
      <c r="P17" t="s">
        <v>104</v>
      </c>
      <c r="Q17">
        <v>1000</v>
      </c>
      <c r="X17">
        <v>5.9999999999999995E-4</v>
      </c>
      <c r="Y17">
        <v>5000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48</v>
      </c>
      <c r="AG17">
        <v>0</v>
      </c>
      <c r="AH17">
        <v>2</v>
      </c>
      <c r="AI17">
        <v>16810148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ROW(Source!A32)</f>
        <v>32</v>
      </c>
      <c r="B18">
        <v>16810157</v>
      </c>
      <c r="C18">
        <v>16810141</v>
      </c>
      <c r="D18">
        <v>15164559</v>
      </c>
      <c r="E18">
        <v>17</v>
      </c>
      <c r="F18">
        <v>1</v>
      </c>
      <c r="G18">
        <v>1</v>
      </c>
      <c r="H18">
        <v>3</v>
      </c>
      <c r="I18" t="s">
        <v>736</v>
      </c>
      <c r="J18" t="s">
        <v>6</v>
      </c>
      <c r="K18" t="s">
        <v>737</v>
      </c>
      <c r="L18">
        <v>1374</v>
      </c>
      <c r="N18">
        <v>1013</v>
      </c>
      <c r="O18" t="s">
        <v>738</v>
      </c>
      <c r="P18" t="s">
        <v>738</v>
      </c>
      <c r="Q18">
        <v>1</v>
      </c>
      <c r="X18">
        <v>0.19</v>
      </c>
      <c r="Y18">
        <v>1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48</v>
      </c>
      <c r="AG18">
        <v>0</v>
      </c>
      <c r="AH18">
        <v>2</v>
      </c>
      <c r="AI18">
        <v>16810149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ROW(Source!A33)</f>
        <v>33</v>
      </c>
      <c r="B19">
        <v>16810165</v>
      </c>
      <c r="C19">
        <v>16810158</v>
      </c>
      <c r="D19">
        <v>15435721</v>
      </c>
      <c r="E19">
        <v>1</v>
      </c>
      <c r="F19">
        <v>1</v>
      </c>
      <c r="G19">
        <v>1</v>
      </c>
      <c r="H19">
        <v>1</v>
      </c>
      <c r="I19" t="s">
        <v>739</v>
      </c>
      <c r="J19" t="s">
        <v>6</v>
      </c>
      <c r="K19" t="s">
        <v>740</v>
      </c>
      <c r="L19">
        <v>1191</v>
      </c>
      <c r="N19">
        <v>1013</v>
      </c>
      <c r="O19" t="s">
        <v>708</v>
      </c>
      <c r="P19" t="s">
        <v>708</v>
      </c>
      <c r="Q19">
        <v>1</v>
      </c>
      <c r="X19">
        <v>16.29</v>
      </c>
      <c r="Y19">
        <v>0</v>
      </c>
      <c r="Z19">
        <v>0</v>
      </c>
      <c r="AA19">
        <v>0</v>
      </c>
      <c r="AB19">
        <v>9.51</v>
      </c>
      <c r="AC19">
        <v>0</v>
      </c>
      <c r="AD19">
        <v>1</v>
      </c>
      <c r="AE19">
        <v>1</v>
      </c>
      <c r="AF19" t="s">
        <v>49</v>
      </c>
      <c r="AG19">
        <v>4.8869999999999996</v>
      </c>
      <c r="AH19">
        <v>2</v>
      </c>
      <c r="AI19">
        <v>16810159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ROW(Source!A33)</f>
        <v>33</v>
      </c>
      <c r="B20">
        <v>16810166</v>
      </c>
      <c r="C20">
        <v>16810158</v>
      </c>
      <c r="D20">
        <v>15430395</v>
      </c>
      <c r="E20">
        <v>1</v>
      </c>
      <c r="F20">
        <v>1</v>
      </c>
      <c r="G20">
        <v>1</v>
      </c>
      <c r="H20">
        <v>1</v>
      </c>
      <c r="I20" t="s">
        <v>709</v>
      </c>
      <c r="J20" t="s">
        <v>6</v>
      </c>
      <c r="K20" t="s">
        <v>710</v>
      </c>
      <c r="L20">
        <v>1191</v>
      </c>
      <c r="N20">
        <v>1013</v>
      </c>
      <c r="O20" t="s">
        <v>708</v>
      </c>
      <c r="P20" t="s">
        <v>708</v>
      </c>
      <c r="Q20">
        <v>1</v>
      </c>
      <c r="X20">
        <v>0.01</v>
      </c>
      <c r="Y20">
        <v>0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2</v>
      </c>
      <c r="AF20" t="s">
        <v>49</v>
      </c>
      <c r="AG20">
        <v>3.0000000000000001E-3</v>
      </c>
      <c r="AH20">
        <v>2</v>
      </c>
      <c r="AI20">
        <v>16810160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ROW(Source!A33)</f>
        <v>33</v>
      </c>
      <c r="B21">
        <v>16810167</v>
      </c>
      <c r="C21">
        <v>16810158</v>
      </c>
      <c r="D21">
        <v>15247974</v>
      </c>
      <c r="E21">
        <v>1</v>
      </c>
      <c r="F21">
        <v>1</v>
      </c>
      <c r="G21">
        <v>1</v>
      </c>
      <c r="H21">
        <v>2</v>
      </c>
      <c r="I21" t="s">
        <v>711</v>
      </c>
      <c r="J21" t="s">
        <v>712</v>
      </c>
      <c r="K21" t="s">
        <v>713</v>
      </c>
      <c r="L21">
        <v>1368</v>
      </c>
      <c r="N21">
        <v>1011</v>
      </c>
      <c r="O21" t="s">
        <v>714</v>
      </c>
      <c r="P21" t="s">
        <v>714</v>
      </c>
      <c r="Q21">
        <v>1</v>
      </c>
      <c r="X21">
        <v>0.01</v>
      </c>
      <c r="Y21">
        <v>0</v>
      </c>
      <c r="Z21">
        <v>31.26</v>
      </c>
      <c r="AA21">
        <v>13.5</v>
      </c>
      <c r="AB21">
        <v>0</v>
      </c>
      <c r="AC21">
        <v>0</v>
      </c>
      <c r="AD21">
        <v>1</v>
      </c>
      <c r="AE21">
        <v>0</v>
      </c>
      <c r="AF21" t="s">
        <v>49</v>
      </c>
      <c r="AG21">
        <v>3.0000000000000001E-3</v>
      </c>
      <c r="AH21">
        <v>2</v>
      </c>
      <c r="AI21">
        <v>16810161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ROW(Source!A33)</f>
        <v>33</v>
      </c>
      <c r="B22">
        <v>16810168</v>
      </c>
      <c r="C22">
        <v>16810158</v>
      </c>
      <c r="D22">
        <v>15170076</v>
      </c>
      <c r="E22">
        <v>1</v>
      </c>
      <c r="F22">
        <v>1</v>
      </c>
      <c r="G22">
        <v>1</v>
      </c>
      <c r="H22">
        <v>3</v>
      </c>
      <c r="I22" t="s">
        <v>741</v>
      </c>
      <c r="J22" t="s">
        <v>742</v>
      </c>
      <c r="K22" t="s">
        <v>743</v>
      </c>
      <c r="L22">
        <v>1356</v>
      </c>
      <c r="N22">
        <v>1010</v>
      </c>
      <c r="O22" t="s">
        <v>744</v>
      </c>
      <c r="P22" t="s">
        <v>744</v>
      </c>
      <c r="Q22">
        <v>1000</v>
      </c>
      <c r="X22">
        <v>0.2</v>
      </c>
      <c r="Y22">
        <v>180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48</v>
      </c>
      <c r="AG22">
        <v>0</v>
      </c>
      <c r="AH22">
        <v>2</v>
      </c>
      <c r="AI22">
        <v>16810162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ROW(Source!A33)</f>
        <v>33</v>
      </c>
      <c r="B23">
        <v>16810169</v>
      </c>
      <c r="C23">
        <v>16810158</v>
      </c>
      <c r="D23">
        <v>15170438</v>
      </c>
      <c r="E23">
        <v>1</v>
      </c>
      <c r="F23">
        <v>1</v>
      </c>
      <c r="G23">
        <v>1</v>
      </c>
      <c r="H23">
        <v>3</v>
      </c>
      <c r="I23" t="s">
        <v>745</v>
      </c>
      <c r="J23" t="s">
        <v>746</v>
      </c>
      <c r="K23" t="s">
        <v>747</v>
      </c>
      <c r="L23">
        <v>1348</v>
      </c>
      <c r="N23">
        <v>1009</v>
      </c>
      <c r="O23" t="s">
        <v>104</v>
      </c>
      <c r="P23" t="s">
        <v>104</v>
      </c>
      <c r="Q23">
        <v>1000</v>
      </c>
      <c r="X23">
        <v>1E-3</v>
      </c>
      <c r="Y23">
        <v>12430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48</v>
      </c>
      <c r="AG23">
        <v>0</v>
      </c>
      <c r="AH23">
        <v>2</v>
      </c>
      <c r="AI23">
        <v>16810163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ROW(Source!A33)</f>
        <v>33</v>
      </c>
      <c r="B24">
        <v>16810170</v>
      </c>
      <c r="C24">
        <v>16810158</v>
      </c>
      <c r="D24">
        <v>15164559</v>
      </c>
      <c r="E24">
        <v>17</v>
      </c>
      <c r="F24">
        <v>1</v>
      </c>
      <c r="G24">
        <v>1</v>
      </c>
      <c r="H24">
        <v>3</v>
      </c>
      <c r="I24" t="s">
        <v>736</v>
      </c>
      <c r="J24" t="s">
        <v>6</v>
      </c>
      <c r="K24" t="s">
        <v>737</v>
      </c>
      <c r="L24">
        <v>1374</v>
      </c>
      <c r="N24">
        <v>1013</v>
      </c>
      <c r="O24" t="s">
        <v>738</v>
      </c>
      <c r="P24" t="s">
        <v>738</v>
      </c>
      <c r="Q24">
        <v>1</v>
      </c>
      <c r="X24">
        <v>3.1</v>
      </c>
      <c r="Y24">
        <v>1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48</v>
      </c>
      <c r="AG24">
        <v>0</v>
      </c>
      <c r="AH24">
        <v>2</v>
      </c>
      <c r="AI24">
        <v>16810164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ROW(Source!A34)</f>
        <v>34</v>
      </c>
      <c r="B25">
        <v>16810179</v>
      </c>
      <c r="C25">
        <v>16810171</v>
      </c>
      <c r="D25">
        <v>15436556</v>
      </c>
      <c r="E25">
        <v>1</v>
      </c>
      <c r="F25">
        <v>1</v>
      </c>
      <c r="G25">
        <v>1</v>
      </c>
      <c r="H25">
        <v>1</v>
      </c>
      <c r="I25" t="s">
        <v>748</v>
      </c>
      <c r="J25" t="s">
        <v>6</v>
      </c>
      <c r="K25" t="s">
        <v>749</v>
      </c>
      <c r="L25">
        <v>1191</v>
      </c>
      <c r="N25">
        <v>1013</v>
      </c>
      <c r="O25" t="s">
        <v>708</v>
      </c>
      <c r="P25" t="s">
        <v>708</v>
      </c>
      <c r="Q25">
        <v>1</v>
      </c>
      <c r="X25">
        <v>0.84</v>
      </c>
      <c r="Y25">
        <v>0</v>
      </c>
      <c r="Z25">
        <v>0</v>
      </c>
      <c r="AA25">
        <v>0</v>
      </c>
      <c r="AB25">
        <v>9.6199999999999992</v>
      </c>
      <c r="AC25">
        <v>0</v>
      </c>
      <c r="AD25">
        <v>1</v>
      </c>
      <c r="AE25">
        <v>1</v>
      </c>
      <c r="AF25" t="s">
        <v>49</v>
      </c>
      <c r="AG25">
        <v>0.252</v>
      </c>
      <c r="AH25">
        <v>2</v>
      </c>
      <c r="AI25">
        <v>16810172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ROW(Source!A34)</f>
        <v>34</v>
      </c>
      <c r="B26">
        <v>16810180</v>
      </c>
      <c r="C26">
        <v>16810171</v>
      </c>
      <c r="D26">
        <v>15165918</v>
      </c>
      <c r="E26">
        <v>1</v>
      </c>
      <c r="F26">
        <v>1</v>
      </c>
      <c r="G26">
        <v>1</v>
      </c>
      <c r="H26">
        <v>3</v>
      </c>
      <c r="I26" t="s">
        <v>750</v>
      </c>
      <c r="J26" t="s">
        <v>751</v>
      </c>
      <c r="K26" t="s">
        <v>752</v>
      </c>
      <c r="L26">
        <v>1346</v>
      </c>
      <c r="N26">
        <v>1009</v>
      </c>
      <c r="O26" t="s">
        <v>300</v>
      </c>
      <c r="P26" t="s">
        <v>300</v>
      </c>
      <c r="Q26">
        <v>1</v>
      </c>
      <c r="X26">
        <v>2.0000000000000001E-4</v>
      </c>
      <c r="Y26">
        <v>27.74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48</v>
      </c>
      <c r="AG26">
        <v>0</v>
      </c>
      <c r="AH26">
        <v>2</v>
      </c>
      <c r="AI26">
        <v>16810173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ROW(Source!A34)</f>
        <v>34</v>
      </c>
      <c r="B27">
        <v>16810181</v>
      </c>
      <c r="C27">
        <v>16810171</v>
      </c>
      <c r="D27">
        <v>15170072</v>
      </c>
      <c r="E27">
        <v>1</v>
      </c>
      <c r="F27">
        <v>1</v>
      </c>
      <c r="G27">
        <v>1</v>
      </c>
      <c r="H27">
        <v>3</v>
      </c>
      <c r="I27" t="s">
        <v>753</v>
      </c>
      <c r="J27" t="s">
        <v>754</v>
      </c>
      <c r="K27" t="s">
        <v>755</v>
      </c>
      <c r="L27">
        <v>1355</v>
      </c>
      <c r="N27">
        <v>1010</v>
      </c>
      <c r="O27" t="s">
        <v>326</v>
      </c>
      <c r="P27" t="s">
        <v>326</v>
      </c>
      <c r="Q27">
        <v>100</v>
      </c>
      <c r="X27">
        <v>0.01</v>
      </c>
      <c r="Y27">
        <v>83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48</v>
      </c>
      <c r="AG27">
        <v>0</v>
      </c>
      <c r="AH27">
        <v>2</v>
      </c>
      <c r="AI27">
        <v>16810174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ROW(Source!A34)</f>
        <v>34</v>
      </c>
      <c r="B28">
        <v>16810182</v>
      </c>
      <c r="C28">
        <v>16810171</v>
      </c>
      <c r="D28">
        <v>15171982</v>
      </c>
      <c r="E28">
        <v>1</v>
      </c>
      <c r="F28">
        <v>1</v>
      </c>
      <c r="G28">
        <v>1</v>
      </c>
      <c r="H28">
        <v>3</v>
      </c>
      <c r="I28" t="s">
        <v>756</v>
      </c>
      <c r="J28" t="s">
        <v>757</v>
      </c>
      <c r="K28" t="s">
        <v>758</v>
      </c>
      <c r="L28">
        <v>1348</v>
      </c>
      <c r="N28">
        <v>1009</v>
      </c>
      <c r="O28" t="s">
        <v>104</v>
      </c>
      <c r="P28" t="s">
        <v>104</v>
      </c>
      <c r="Q28">
        <v>1000</v>
      </c>
      <c r="X28">
        <v>1.0000000000000001E-5</v>
      </c>
      <c r="Y28">
        <v>729.98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48</v>
      </c>
      <c r="AG28">
        <v>0</v>
      </c>
      <c r="AH28">
        <v>2</v>
      </c>
      <c r="AI28">
        <v>16810175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ROW(Source!A34)</f>
        <v>34</v>
      </c>
      <c r="B29">
        <v>16810183</v>
      </c>
      <c r="C29">
        <v>16810171</v>
      </c>
      <c r="D29">
        <v>15195043</v>
      </c>
      <c r="E29">
        <v>1</v>
      </c>
      <c r="F29">
        <v>1</v>
      </c>
      <c r="G29">
        <v>1</v>
      </c>
      <c r="H29">
        <v>3</v>
      </c>
      <c r="I29" t="s">
        <v>759</v>
      </c>
      <c r="J29" t="s">
        <v>760</v>
      </c>
      <c r="K29" t="s">
        <v>761</v>
      </c>
      <c r="L29">
        <v>1346</v>
      </c>
      <c r="N29">
        <v>1009</v>
      </c>
      <c r="O29" t="s">
        <v>300</v>
      </c>
      <c r="P29" t="s">
        <v>300</v>
      </c>
      <c r="Q29">
        <v>1</v>
      </c>
      <c r="X29">
        <v>2E-3</v>
      </c>
      <c r="Y29">
        <v>65.75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48</v>
      </c>
      <c r="AG29">
        <v>0</v>
      </c>
      <c r="AH29">
        <v>2</v>
      </c>
      <c r="AI29">
        <v>16810176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ROW(Source!A34)</f>
        <v>34</v>
      </c>
      <c r="B30">
        <v>16810184</v>
      </c>
      <c r="C30">
        <v>16810171</v>
      </c>
      <c r="D30">
        <v>15202502</v>
      </c>
      <c r="E30">
        <v>1</v>
      </c>
      <c r="F30">
        <v>1</v>
      </c>
      <c r="G30">
        <v>1</v>
      </c>
      <c r="H30">
        <v>3</v>
      </c>
      <c r="I30" t="s">
        <v>762</v>
      </c>
      <c r="J30" t="s">
        <v>763</v>
      </c>
      <c r="K30" t="s">
        <v>764</v>
      </c>
      <c r="L30">
        <v>1346</v>
      </c>
      <c r="N30">
        <v>1009</v>
      </c>
      <c r="O30" t="s">
        <v>300</v>
      </c>
      <c r="P30" t="s">
        <v>300</v>
      </c>
      <c r="Q30">
        <v>1</v>
      </c>
      <c r="X30">
        <v>5.0000000000000001E-3</v>
      </c>
      <c r="Y30">
        <v>28.93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48</v>
      </c>
      <c r="AG30">
        <v>0</v>
      </c>
      <c r="AH30">
        <v>2</v>
      </c>
      <c r="AI30">
        <v>16810177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ROW(Source!A34)</f>
        <v>34</v>
      </c>
      <c r="B31">
        <v>16810185</v>
      </c>
      <c r="C31">
        <v>16810171</v>
      </c>
      <c r="D31">
        <v>15164559</v>
      </c>
      <c r="E31">
        <v>17</v>
      </c>
      <c r="F31">
        <v>1</v>
      </c>
      <c r="G31">
        <v>1</v>
      </c>
      <c r="H31">
        <v>3</v>
      </c>
      <c r="I31" t="s">
        <v>736</v>
      </c>
      <c r="J31" t="s">
        <v>6</v>
      </c>
      <c r="K31" t="s">
        <v>737</v>
      </c>
      <c r="L31">
        <v>1374</v>
      </c>
      <c r="N31">
        <v>1013</v>
      </c>
      <c r="O31" t="s">
        <v>738</v>
      </c>
      <c r="P31" t="s">
        <v>738</v>
      </c>
      <c r="Q31">
        <v>1</v>
      </c>
      <c r="X31">
        <v>0.16</v>
      </c>
      <c r="Y31">
        <v>1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48</v>
      </c>
      <c r="AG31">
        <v>0</v>
      </c>
      <c r="AH31">
        <v>2</v>
      </c>
      <c r="AI31">
        <v>16810178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ROW(Source!A35)</f>
        <v>35</v>
      </c>
      <c r="B32">
        <v>16810192</v>
      </c>
      <c r="C32">
        <v>16810186</v>
      </c>
      <c r="D32">
        <v>15430447</v>
      </c>
      <c r="E32">
        <v>1</v>
      </c>
      <c r="F32">
        <v>1</v>
      </c>
      <c r="G32">
        <v>1</v>
      </c>
      <c r="H32">
        <v>1</v>
      </c>
      <c r="I32" t="s">
        <v>765</v>
      </c>
      <c r="J32" t="s">
        <v>6</v>
      </c>
      <c r="K32" t="s">
        <v>766</v>
      </c>
      <c r="L32">
        <v>1191</v>
      </c>
      <c r="N32">
        <v>1013</v>
      </c>
      <c r="O32" t="s">
        <v>708</v>
      </c>
      <c r="P32" t="s">
        <v>708</v>
      </c>
      <c r="Q32">
        <v>1</v>
      </c>
      <c r="X32">
        <v>2</v>
      </c>
      <c r="Y32">
        <v>0</v>
      </c>
      <c r="Z32">
        <v>0</v>
      </c>
      <c r="AA32">
        <v>0</v>
      </c>
      <c r="AB32">
        <v>9.07</v>
      </c>
      <c r="AC32">
        <v>0</v>
      </c>
      <c r="AD32">
        <v>1</v>
      </c>
      <c r="AE32">
        <v>1</v>
      </c>
      <c r="AF32" t="s">
        <v>68</v>
      </c>
      <c r="AG32">
        <v>1.2</v>
      </c>
      <c r="AH32">
        <v>2</v>
      </c>
      <c r="AI32">
        <v>16810187</v>
      </c>
      <c r="AJ32">
        <v>32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ROW(Source!A35)</f>
        <v>35</v>
      </c>
      <c r="B33">
        <v>16810193</v>
      </c>
      <c r="C33">
        <v>16810186</v>
      </c>
      <c r="D33">
        <v>15167589</v>
      </c>
      <c r="E33">
        <v>1</v>
      </c>
      <c r="F33">
        <v>1</v>
      </c>
      <c r="G33">
        <v>1</v>
      </c>
      <c r="H33">
        <v>3</v>
      </c>
      <c r="I33" t="s">
        <v>767</v>
      </c>
      <c r="J33" t="s">
        <v>768</v>
      </c>
      <c r="K33" t="s">
        <v>769</v>
      </c>
      <c r="L33">
        <v>1346</v>
      </c>
      <c r="N33">
        <v>1009</v>
      </c>
      <c r="O33" t="s">
        <v>300</v>
      </c>
      <c r="P33" t="s">
        <v>300</v>
      </c>
      <c r="Q33">
        <v>1</v>
      </c>
      <c r="X33">
        <v>1.4999999999999999E-2</v>
      </c>
      <c r="Y33">
        <v>91.29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48</v>
      </c>
      <c r="AG33">
        <v>0</v>
      </c>
      <c r="AH33">
        <v>2</v>
      </c>
      <c r="AI33">
        <v>16810188</v>
      </c>
      <c r="AJ33">
        <v>33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ROW(Source!A35)</f>
        <v>35</v>
      </c>
      <c r="B34">
        <v>16810194</v>
      </c>
      <c r="C34">
        <v>16810186</v>
      </c>
      <c r="D34">
        <v>15225559</v>
      </c>
      <c r="E34">
        <v>1</v>
      </c>
      <c r="F34">
        <v>1</v>
      </c>
      <c r="G34">
        <v>1</v>
      </c>
      <c r="H34">
        <v>3</v>
      </c>
      <c r="I34" t="s">
        <v>770</v>
      </c>
      <c r="J34" t="s">
        <v>771</v>
      </c>
      <c r="K34" t="s">
        <v>772</v>
      </c>
      <c r="L34">
        <v>1477</v>
      </c>
      <c r="N34">
        <v>1013</v>
      </c>
      <c r="O34" t="s">
        <v>463</v>
      </c>
      <c r="P34" t="s">
        <v>465</v>
      </c>
      <c r="Q34">
        <v>1</v>
      </c>
      <c r="X34">
        <v>5.0000000000000001E-3</v>
      </c>
      <c r="Y34">
        <v>1819.3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48</v>
      </c>
      <c r="AG34">
        <v>0</v>
      </c>
      <c r="AH34">
        <v>2</v>
      </c>
      <c r="AI34">
        <v>16810189</v>
      </c>
      <c r="AJ34">
        <v>34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ROW(Source!A35)</f>
        <v>35</v>
      </c>
      <c r="B35">
        <v>16810195</v>
      </c>
      <c r="C35">
        <v>16810186</v>
      </c>
      <c r="D35">
        <v>15226127</v>
      </c>
      <c r="E35">
        <v>1</v>
      </c>
      <c r="F35">
        <v>1</v>
      </c>
      <c r="G35">
        <v>1</v>
      </c>
      <c r="H35">
        <v>3</v>
      </c>
      <c r="I35" t="s">
        <v>773</v>
      </c>
      <c r="J35" t="s">
        <v>774</v>
      </c>
      <c r="K35" t="s">
        <v>775</v>
      </c>
      <c r="L35">
        <v>1355</v>
      </c>
      <c r="N35">
        <v>1010</v>
      </c>
      <c r="O35" t="s">
        <v>326</v>
      </c>
      <c r="P35" t="s">
        <v>326</v>
      </c>
      <c r="Q35">
        <v>100</v>
      </c>
      <c r="X35">
        <v>1.0999999999999999E-2</v>
      </c>
      <c r="Y35">
        <v>164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48</v>
      </c>
      <c r="AG35">
        <v>0</v>
      </c>
      <c r="AH35">
        <v>2</v>
      </c>
      <c r="AI35">
        <v>16810190</v>
      </c>
      <c r="AJ35">
        <v>35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ROW(Source!A35)</f>
        <v>35</v>
      </c>
      <c r="B36">
        <v>16810196</v>
      </c>
      <c r="C36">
        <v>16810186</v>
      </c>
      <c r="D36">
        <v>15164559</v>
      </c>
      <c r="E36">
        <v>17</v>
      </c>
      <c r="F36">
        <v>1</v>
      </c>
      <c r="G36">
        <v>1</v>
      </c>
      <c r="H36">
        <v>3</v>
      </c>
      <c r="I36" t="s">
        <v>736</v>
      </c>
      <c r="J36" t="s">
        <v>6</v>
      </c>
      <c r="K36" t="s">
        <v>737</v>
      </c>
      <c r="L36">
        <v>1374</v>
      </c>
      <c r="N36">
        <v>1013</v>
      </c>
      <c r="O36" t="s">
        <v>738</v>
      </c>
      <c r="P36" t="s">
        <v>738</v>
      </c>
      <c r="Q36">
        <v>1</v>
      </c>
      <c r="X36">
        <v>0.36</v>
      </c>
      <c r="Y36">
        <v>1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48</v>
      </c>
      <c r="AG36">
        <v>0</v>
      </c>
      <c r="AH36">
        <v>2</v>
      </c>
      <c r="AI36">
        <v>16810191</v>
      </c>
      <c r="AJ36">
        <v>36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ROW(Source!A36)</f>
        <v>36</v>
      </c>
      <c r="B37">
        <v>16810202</v>
      </c>
      <c r="C37">
        <v>16810197</v>
      </c>
      <c r="D37">
        <v>15430517</v>
      </c>
      <c r="E37">
        <v>1</v>
      </c>
      <c r="F37">
        <v>1</v>
      </c>
      <c r="G37">
        <v>1</v>
      </c>
      <c r="H37">
        <v>1</v>
      </c>
      <c r="I37" t="s">
        <v>717</v>
      </c>
      <c r="J37" t="s">
        <v>6</v>
      </c>
      <c r="K37" t="s">
        <v>718</v>
      </c>
      <c r="L37">
        <v>1191</v>
      </c>
      <c r="N37">
        <v>1013</v>
      </c>
      <c r="O37" t="s">
        <v>708</v>
      </c>
      <c r="P37" t="s">
        <v>708</v>
      </c>
      <c r="Q37">
        <v>1</v>
      </c>
      <c r="X37">
        <v>35.49</v>
      </c>
      <c r="Y37">
        <v>0</v>
      </c>
      <c r="Z37">
        <v>0</v>
      </c>
      <c r="AA37">
        <v>0</v>
      </c>
      <c r="AB37">
        <v>7.8</v>
      </c>
      <c r="AC37">
        <v>0</v>
      </c>
      <c r="AD37">
        <v>1</v>
      </c>
      <c r="AE37">
        <v>1</v>
      </c>
      <c r="AF37" t="s">
        <v>6</v>
      </c>
      <c r="AG37">
        <v>35.49</v>
      </c>
      <c r="AH37">
        <v>2</v>
      </c>
      <c r="AI37">
        <v>16810198</v>
      </c>
      <c r="AJ37">
        <v>37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ROW(Source!A36)</f>
        <v>36</v>
      </c>
      <c r="B38">
        <v>16810203</v>
      </c>
      <c r="C38">
        <v>16810197</v>
      </c>
      <c r="D38">
        <v>15430395</v>
      </c>
      <c r="E38">
        <v>1</v>
      </c>
      <c r="F38">
        <v>1</v>
      </c>
      <c r="G38">
        <v>1</v>
      </c>
      <c r="H38">
        <v>1</v>
      </c>
      <c r="I38" t="s">
        <v>709</v>
      </c>
      <c r="J38" t="s">
        <v>6</v>
      </c>
      <c r="K38" t="s">
        <v>710</v>
      </c>
      <c r="L38">
        <v>1191</v>
      </c>
      <c r="N38">
        <v>1013</v>
      </c>
      <c r="O38" t="s">
        <v>708</v>
      </c>
      <c r="P38" t="s">
        <v>708</v>
      </c>
      <c r="Q38">
        <v>1</v>
      </c>
      <c r="X38">
        <v>0.13</v>
      </c>
      <c r="Y38">
        <v>0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2</v>
      </c>
      <c r="AF38" t="s">
        <v>6</v>
      </c>
      <c r="AG38">
        <v>0.13</v>
      </c>
      <c r="AH38">
        <v>2</v>
      </c>
      <c r="AI38">
        <v>16810199</v>
      </c>
      <c r="AJ38">
        <v>38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ROW(Source!A36)</f>
        <v>36</v>
      </c>
      <c r="B39">
        <v>16810204</v>
      </c>
      <c r="C39">
        <v>16810197</v>
      </c>
      <c r="D39">
        <v>15247974</v>
      </c>
      <c r="E39">
        <v>1</v>
      </c>
      <c r="F39">
        <v>1</v>
      </c>
      <c r="G39">
        <v>1</v>
      </c>
      <c r="H39">
        <v>2</v>
      </c>
      <c r="I39" t="s">
        <v>711</v>
      </c>
      <c r="J39" t="s">
        <v>712</v>
      </c>
      <c r="K39" t="s">
        <v>713</v>
      </c>
      <c r="L39">
        <v>1368</v>
      </c>
      <c r="N39">
        <v>1011</v>
      </c>
      <c r="O39" t="s">
        <v>714</v>
      </c>
      <c r="P39" t="s">
        <v>714</v>
      </c>
      <c r="Q39">
        <v>1</v>
      </c>
      <c r="X39">
        <v>0.13</v>
      </c>
      <c r="Y39">
        <v>0</v>
      </c>
      <c r="Z39">
        <v>31.26</v>
      </c>
      <c r="AA39">
        <v>13.5</v>
      </c>
      <c r="AB39">
        <v>0</v>
      </c>
      <c r="AC39">
        <v>0</v>
      </c>
      <c r="AD39">
        <v>1</v>
      </c>
      <c r="AE39">
        <v>0</v>
      </c>
      <c r="AF39" t="s">
        <v>6</v>
      </c>
      <c r="AG39">
        <v>0.13</v>
      </c>
      <c r="AH39">
        <v>2</v>
      </c>
      <c r="AI39">
        <v>16810200</v>
      </c>
      <c r="AJ39">
        <v>39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ROW(Source!A36)</f>
        <v>36</v>
      </c>
      <c r="B40">
        <v>16810205</v>
      </c>
      <c r="C40">
        <v>16810197</v>
      </c>
      <c r="D40">
        <v>15164566</v>
      </c>
      <c r="E40">
        <v>17</v>
      </c>
      <c r="F40">
        <v>1</v>
      </c>
      <c r="G40">
        <v>1</v>
      </c>
      <c r="H40">
        <v>3</v>
      </c>
      <c r="I40" t="s">
        <v>102</v>
      </c>
      <c r="J40" t="s">
        <v>6</v>
      </c>
      <c r="K40" t="s">
        <v>1034</v>
      </c>
      <c r="L40">
        <v>1348</v>
      </c>
      <c r="N40">
        <v>1009</v>
      </c>
      <c r="O40" t="s">
        <v>104</v>
      </c>
      <c r="P40" t="s">
        <v>104</v>
      </c>
      <c r="Q40">
        <v>1000</v>
      </c>
      <c r="X40">
        <v>1.4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6</v>
      </c>
      <c r="AG40">
        <v>1.4</v>
      </c>
      <c r="AH40">
        <v>3</v>
      </c>
      <c r="AI40">
        <v>-1</v>
      </c>
      <c r="AJ40" t="s">
        <v>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ROW(Source!A37)</f>
        <v>37</v>
      </c>
      <c r="B41">
        <v>16810213</v>
      </c>
      <c r="C41">
        <v>16810207</v>
      </c>
      <c r="D41">
        <v>15433640</v>
      </c>
      <c r="E41">
        <v>1</v>
      </c>
      <c r="F41">
        <v>1</v>
      </c>
      <c r="G41">
        <v>1</v>
      </c>
      <c r="H41">
        <v>1</v>
      </c>
      <c r="I41" t="s">
        <v>776</v>
      </c>
      <c r="J41" t="s">
        <v>6</v>
      </c>
      <c r="K41" t="s">
        <v>777</v>
      </c>
      <c r="L41">
        <v>1191</v>
      </c>
      <c r="N41">
        <v>1013</v>
      </c>
      <c r="O41" t="s">
        <v>708</v>
      </c>
      <c r="P41" t="s">
        <v>708</v>
      </c>
      <c r="Q41">
        <v>1</v>
      </c>
      <c r="X41">
        <v>39.51</v>
      </c>
      <c r="Y41">
        <v>0</v>
      </c>
      <c r="Z41">
        <v>0</v>
      </c>
      <c r="AA41">
        <v>0</v>
      </c>
      <c r="AB41">
        <v>7.94</v>
      </c>
      <c r="AC41">
        <v>0</v>
      </c>
      <c r="AD41">
        <v>1</v>
      </c>
      <c r="AE41">
        <v>1</v>
      </c>
      <c r="AF41" t="s">
        <v>82</v>
      </c>
      <c r="AG41">
        <v>31.608000000000001</v>
      </c>
      <c r="AH41">
        <v>2</v>
      </c>
      <c r="AI41">
        <v>16810208</v>
      </c>
      <c r="AJ41">
        <v>40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ROW(Source!A37)</f>
        <v>37</v>
      </c>
      <c r="B42">
        <v>16810214</v>
      </c>
      <c r="C42">
        <v>16810207</v>
      </c>
      <c r="D42">
        <v>15430395</v>
      </c>
      <c r="E42">
        <v>1</v>
      </c>
      <c r="F42">
        <v>1</v>
      </c>
      <c r="G42">
        <v>1</v>
      </c>
      <c r="H42">
        <v>1</v>
      </c>
      <c r="I42" t="s">
        <v>709</v>
      </c>
      <c r="J42" t="s">
        <v>6</v>
      </c>
      <c r="K42" t="s">
        <v>710</v>
      </c>
      <c r="L42">
        <v>1191</v>
      </c>
      <c r="N42">
        <v>1013</v>
      </c>
      <c r="O42" t="s">
        <v>708</v>
      </c>
      <c r="P42" t="s">
        <v>708</v>
      </c>
      <c r="Q42">
        <v>1</v>
      </c>
      <c r="X42">
        <v>1.27</v>
      </c>
      <c r="Y42">
        <v>0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2</v>
      </c>
      <c r="AF42" t="s">
        <v>82</v>
      </c>
      <c r="AG42">
        <v>1.016</v>
      </c>
      <c r="AH42">
        <v>2</v>
      </c>
      <c r="AI42">
        <v>16810209</v>
      </c>
      <c r="AJ42">
        <v>41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ROW(Source!A37)</f>
        <v>37</v>
      </c>
      <c r="B43">
        <v>16810215</v>
      </c>
      <c r="C43">
        <v>16810207</v>
      </c>
      <c r="D43">
        <v>15247974</v>
      </c>
      <c r="E43">
        <v>1</v>
      </c>
      <c r="F43">
        <v>1</v>
      </c>
      <c r="G43">
        <v>1</v>
      </c>
      <c r="H43">
        <v>2</v>
      </c>
      <c r="I43" t="s">
        <v>711</v>
      </c>
      <c r="J43" t="s">
        <v>712</v>
      </c>
      <c r="K43" t="s">
        <v>713</v>
      </c>
      <c r="L43">
        <v>1368</v>
      </c>
      <c r="N43">
        <v>1011</v>
      </c>
      <c r="O43" t="s">
        <v>714</v>
      </c>
      <c r="P43" t="s">
        <v>714</v>
      </c>
      <c r="Q43">
        <v>1</v>
      </c>
      <c r="X43">
        <v>1.27</v>
      </c>
      <c r="Y43">
        <v>0</v>
      </c>
      <c r="Z43">
        <v>31.26</v>
      </c>
      <c r="AA43">
        <v>13.5</v>
      </c>
      <c r="AB43">
        <v>0</v>
      </c>
      <c r="AC43">
        <v>0</v>
      </c>
      <c r="AD43">
        <v>1</v>
      </c>
      <c r="AE43">
        <v>0</v>
      </c>
      <c r="AF43" t="s">
        <v>82</v>
      </c>
      <c r="AG43">
        <v>1.016</v>
      </c>
      <c r="AH43">
        <v>2</v>
      </c>
      <c r="AI43">
        <v>16810210</v>
      </c>
      <c r="AJ43">
        <v>42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ROW(Source!A37)</f>
        <v>37</v>
      </c>
      <c r="B44">
        <v>16810216</v>
      </c>
      <c r="C44">
        <v>16810207</v>
      </c>
      <c r="D44">
        <v>15248091</v>
      </c>
      <c r="E44">
        <v>1</v>
      </c>
      <c r="F44">
        <v>1</v>
      </c>
      <c r="G44">
        <v>1</v>
      </c>
      <c r="H44">
        <v>2</v>
      </c>
      <c r="I44" t="s">
        <v>778</v>
      </c>
      <c r="J44" t="s">
        <v>779</v>
      </c>
      <c r="K44" t="s">
        <v>780</v>
      </c>
      <c r="L44">
        <v>1368</v>
      </c>
      <c r="N44">
        <v>1011</v>
      </c>
      <c r="O44" t="s">
        <v>714</v>
      </c>
      <c r="P44" t="s">
        <v>714</v>
      </c>
      <c r="Q44">
        <v>1</v>
      </c>
      <c r="X44">
        <v>9.07</v>
      </c>
      <c r="Y44">
        <v>0</v>
      </c>
      <c r="Z44">
        <v>0.5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82</v>
      </c>
      <c r="AG44">
        <v>7.2560000000000002</v>
      </c>
      <c r="AH44">
        <v>2</v>
      </c>
      <c r="AI44">
        <v>16810211</v>
      </c>
      <c r="AJ44">
        <v>43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ROW(Source!A37)</f>
        <v>37</v>
      </c>
      <c r="B45">
        <v>16810217</v>
      </c>
      <c r="C45">
        <v>16810207</v>
      </c>
      <c r="D45">
        <v>15167286</v>
      </c>
      <c r="E45">
        <v>1</v>
      </c>
      <c r="F45">
        <v>1</v>
      </c>
      <c r="G45">
        <v>1</v>
      </c>
      <c r="H45">
        <v>3</v>
      </c>
      <c r="I45" t="s">
        <v>781</v>
      </c>
      <c r="J45" t="s">
        <v>782</v>
      </c>
      <c r="K45" t="s">
        <v>783</v>
      </c>
      <c r="L45">
        <v>1339</v>
      </c>
      <c r="N45">
        <v>1007</v>
      </c>
      <c r="O45" t="s">
        <v>254</v>
      </c>
      <c r="P45" t="s">
        <v>254</v>
      </c>
      <c r="Q45">
        <v>1</v>
      </c>
      <c r="X45">
        <v>3.5</v>
      </c>
      <c r="Y45">
        <v>2.44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48</v>
      </c>
      <c r="AG45">
        <v>0</v>
      </c>
      <c r="AH45">
        <v>2</v>
      </c>
      <c r="AI45">
        <v>16810212</v>
      </c>
      <c r="AJ45">
        <v>44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ROW(Source!A37)</f>
        <v>37</v>
      </c>
      <c r="B46">
        <v>16810218</v>
      </c>
      <c r="C46">
        <v>16810207</v>
      </c>
      <c r="D46">
        <v>15162639</v>
      </c>
      <c r="E46">
        <v>17</v>
      </c>
      <c r="F46">
        <v>1</v>
      </c>
      <c r="G46">
        <v>1</v>
      </c>
      <c r="H46">
        <v>3</v>
      </c>
      <c r="I46" t="s">
        <v>252</v>
      </c>
      <c r="J46" t="s">
        <v>6</v>
      </c>
      <c r="K46" t="s">
        <v>253</v>
      </c>
      <c r="L46">
        <v>1339</v>
      </c>
      <c r="N46">
        <v>1007</v>
      </c>
      <c r="O46" t="s">
        <v>254</v>
      </c>
      <c r="P46" t="s">
        <v>254</v>
      </c>
      <c r="Q46">
        <v>1</v>
      </c>
      <c r="X46">
        <v>2.04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 t="s">
        <v>48</v>
      </c>
      <c r="AG46">
        <v>0</v>
      </c>
      <c r="AH46">
        <v>3</v>
      </c>
      <c r="AI46">
        <v>-1</v>
      </c>
      <c r="AJ46" t="s">
        <v>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ROW(Source!A38)</f>
        <v>38</v>
      </c>
      <c r="B47">
        <v>16810222</v>
      </c>
      <c r="C47">
        <v>16810219</v>
      </c>
      <c r="D47">
        <v>15430517</v>
      </c>
      <c r="E47">
        <v>1</v>
      </c>
      <c r="F47">
        <v>1</v>
      </c>
      <c r="G47">
        <v>1</v>
      </c>
      <c r="H47">
        <v>1</v>
      </c>
      <c r="I47" t="s">
        <v>717</v>
      </c>
      <c r="J47" t="s">
        <v>6</v>
      </c>
      <c r="K47" t="s">
        <v>718</v>
      </c>
      <c r="L47">
        <v>1191</v>
      </c>
      <c r="N47">
        <v>1013</v>
      </c>
      <c r="O47" t="s">
        <v>708</v>
      </c>
      <c r="P47" t="s">
        <v>708</v>
      </c>
      <c r="Q47">
        <v>1</v>
      </c>
      <c r="X47">
        <v>3.77</v>
      </c>
      <c r="Y47">
        <v>0</v>
      </c>
      <c r="Z47">
        <v>0</v>
      </c>
      <c r="AA47">
        <v>0</v>
      </c>
      <c r="AB47">
        <v>7.8</v>
      </c>
      <c r="AC47">
        <v>0</v>
      </c>
      <c r="AD47">
        <v>1</v>
      </c>
      <c r="AE47">
        <v>1</v>
      </c>
      <c r="AF47" t="s">
        <v>6</v>
      </c>
      <c r="AG47">
        <v>3.77</v>
      </c>
      <c r="AH47">
        <v>2</v>
      </c>
      <c r="AI47">
        <v>16810220</v>
      </c>
      <c r="AJ47">
        <v>45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ROW(Source!A38)</f>
        <v>38</v>
      </c>
      <c r="B48">
        <v>16810223</v>
      </c>
      <c r="C48">
        <v>16810219</v>
      </c>
      <c r="D48">
        <v>15164566</v>
      </c>
      <c r="E48">
        <v>17</v>
      </c>
      <c r="F48">
        <v>1</v>
      </c>
      <c r="G48">
        <v>1</v>
      </c>
      <c r="H48">
        <v>3</v>
      </c>
      <c r="I48" t="s">
        <v>102</v>
      </c>
      <c r="J48" t="s">
        <v>6</v>
      </c>
      <c r="K48" t="s">
        <v>1034</v>
      </c>
      <c r="L48">
        <v>1348</v>
      </c>
      <c r="N48">
        <v>1009</v>
      </c>
      <c r="O48" t="s">
        <v>104</v>
      </c>
      <c r="P48" t="s">
        <v>104</v>
      </c>
      <c r="Q48">
        <v>1000</v>
      </c>
      <c r="X48">
        <v>0.11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 t="s">
        <v>6</v>
      </c>
      <c r="AG48">
        <v>0.11</v>
      </c>
      <c r="AH48">
        <v>3</v>
      </c>
      <c r="AI48">
        <v>-1</v>
      </c>
      <c r="AJ48" t="s">
        <v>6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ROW(Source!A39)</f>
        <v>39</v>
      </c>
      <c r="B49">
        <v>16810231</v>
      </c>
      <c r="C49">
        <v>16810225</v>
      </c>
      <c r="D49">
        <v>15431465</v>
      </c>
      <c r="E49">
        <v>1</v>
      </c>
      <c r="F49">
        <v>1</v>
      </c>
      <c r="G49">
        <v>1</v>
      </c>
      <c r="H49">
        <v>1</v>
      </c>
      <c r="I49" t="s">
        <v>784</v>
      </c>
      <c r="J49" t="s">
        <v>6</v>
      </c>
      <c r="K49" t="s">
        <v>785</v>
      </c>
      <c r="L49">
        <v>1191</v>
      </c>
      <c r="N49">
        <v>1013</v>
      </c>
      <c r="O49" t="s">
        <v>708</v>
      </c>
      <c r="P49" t="s">
        <v>708</v>
      </c>
      <c r="Q49">
        <v>1</v>
      </c>
      <c r="X49">
        <v>74.3</v>
      </c>
      <c r="Y49">
        <v>0</v>
      </c>
      <c r="Z49">
        <v>0</v>
      </c>
      <c r="AA49">
        <v>0</v>
      </c>
      <c r="AB49">
        <v>7.87</v>
      </c>
      <c r="AC49">
        <v>0</v>
      </c>
      <c r="AD49">
        <v>1</v>
      </c>
      <c r="AE49">
        <v>1</v>
      </c>
      <c r="AF49" t="s">
        <v>6</v>
      </c>
      <c r="AG49">
        <v>74.3</v>
      </c>
      <c r="AH49">
        <v>2</v>
      </c>
      <c r="AI49">
        <v>16810226</v>
      </c>
      <c r="AJ49">
        <v>46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ROW(Source!A39)</f>
        <v>39</v>
      </c>
      <c r="B50">
        <v>16810232</v>
      </c>
      <c r="C50">
        <v>16810225</v>
      </c>
      <c r="D50">
        <v>15430395</v>
      </c>
      <c r="E50">
        <v>1</v>
      </c>
      <c r="F50">
        <v>1</v>
      </c>
      <c r="G50">
        <v>1</v>
      </c>
      <c r="H50">
        <v>1</v>
      </c>
      <c r="I50" t="s">
        <v>709</v>
      </c>
      <c r="J50" t="s">
        <v>6</v>
      </c>
      <c r="K50" t="s">
        <v>710</v>
      </c>
      <c r="L50">
        <v>1191</v>
      </c>
      <c r="N50">
        <v>1013</v>
      </c>
      <c r="O50" t="s">
        <v>708</v>
      </c>
      <c r="P50" t="s">
        <v>708</v>
      </c>
      <c r="Q50">
        <v>1</v>
      </c>
      <c r="X50">
        <v>0.35</v>
      </c>
      <c r="Y50">
        <v>0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2</v>
      </c>
      <c r="AF50" t="s">
        <v>6</v>
      </c>
      <c r="AG50">
        <v>0.35</v>
      </c>
      <c r="AH50">
        <v>2</v>
      </c>
      <c r="AI50">
        <v>16810227</v>
      </c>
      <c r="AJ50">
        <v>47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ROW(Source!A39)</f>
        <v>39</v>
      </c>
      <c r="B51">
        <v>16810233</v>
      </c>
      <c r="C51">
        <v>16810225</v>
      </c>
      <c r="D51">
        <v>15247974</v>
      </c>
      <c r="E51">
        <v>1</v>
      </c>
      <c r="F51">
        <v>1</v>
      </c>
      <c r="G51">
        <v>1</v>
      </c>
      <c r="H51">
        <v>2</v>
      </c>
      <c r="I51" t="s">
        <v>711</v>
      </c>
      <c r="J51" t="s">
        <v>712</v>
      </c>
      <c r="K51" t="s">
        <v>713</v>
      </c>
      <c r="L51">
        <v>1368</v>
      </c>
      <c r="N51">
        <v>1011</v>
      </c>
      <c r="O51" t="s">
        <v>714</v>
      </c>
      <c r="P51" t="s">
        <v>714</v>
      </c>
      <c r="Q51">
        <v>1</v>
      </c>
      <c r="X51">
        <v>0.35</v>
      </c>
      <c r="Y51">
        <v>0</v>
      </c>
      <c r="Z51">
        <v>31.26</v>
      </c>
      <c r="AA51">
        <v>13.5</v>
      </c>
      <c r="AB51">
        <v>0</v>
      </c>
      <c r="AC51">
        <v>0</v>
      </c>
      <c r="AD51">
        <v>1</v>
      </c>
      <c r="AE51">
        <v>0</v>
      </c>
      <c r="AF51" t="s">
        <v>6</v>
      </c>
      <c r="AG51">
        <v>0.35</v>
      </c>
      <c r="AH51">
        <v>2</v>
      </c>
      <c r="AI51">
        <v>16810228</v>
      </c>
      <c r="AJ51">
        <v>48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ROW(Source!A39)</f>
        <v>39</v>
      </c>
      <c r="B52">
        <v>16810234</v>
      </c>
      <c r="C52">
        <v>16810225</v>
      </c>
      <c r="D52">
        <v>15249402</v>
      </c>
      <c r="E52">
        <v>1</v>
      </c>
      <c r="F52">
        <v>1</v>
      </c>
      <c r="G52">
        <v>1</v>
      </c>
      <c r="H52">
        <v>2</v>
      </c>
      <c r="I52" t="s">
        <v>786</v>
      </c>
      <c r="J52" t="s">
        <v>787</v>
      </c>
      <c r="K52" t="s">
        <v>788</v>
      </c>
      <c r="L52">
        <v>1368</v>
      </c>
      <c r="N52">
        <v>1011</v>
      </c>
      <c r="O52" t="s">
        <v>714</v>
      </c>
      <c r="P52" t="s">
        <v>714</v>
      </c>
      <c r="Q52">
        <v>1</v>
      </c>
      <c r="X52">
        <v>1.64</v>
      </c>
      <c r="Y52">
        <v>0</v>
      </c>
      <c r="Z52">
        <v>32.5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6</v>
      </c>
      <c r="AG52">
        <v>1.64</v>
      </c>
      <c r="AH52">
        <v>2</v>
      </c>
      <c r="AI52">
        <v>16810229</v>
      </c>
      <c r="AJ52">
        <v>49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ROW(Source!A39)</f>
        <v>39</v>
      </c>
      <c r="B53">
        <v>16810235</v>
      </c>
      <c r="C53">
        <v>16810225</v>
      </c>
      <c r="D53">
        <v>15249998</v>
      </c>
      <c r="E53">
        <v>1</v>
      </c>
      <c r="F53">
        <v>1</v>
      </c>
      <c r="G53">
        <v>1</v>
      </c>
      <c r="H53">
        <v>2</v>
      </c>
      <c r="I53" t="s">
        <v>789</v>
      </c>
      <c r="J53" t="s">
        <v>790</v>
      </c>
      <c r="K53" t="s">
        <v>791</v>
      </c>
      <c r="L53">
        <v>1368</v>
      </c>
      <c r="N53">
        <v>1011</v>
      </c>
      <c r="O53" t="s">
        <v>714</v>
      </c>
      <c r="P53" t="s">
        <v>714</v>
      </c>
      <c r="Q53">
        <v>1</v>
      </c>
      <c r="X53">
        <v>3.28</v>
      </c>
      <c r="Y53">
        <v>0</v>
      </c>
      <c r="Z53">
        <v>1.53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6</v>
      </c>
      <c r="AG53">
        <v>3.28</v>
      </c>
      <c r="AH53">
        <v>2</v>
      </c>
      <c r="AI53">
        <v>16810230</v>
      </c>
      <c r="AJ53">
        <v>50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ROW(Source!A40)</f>
        <v>40</v>
      </c>
      <c r="B54">
        <v>16810241</v>
      </c>
      <c r="C54">
        <v>16810236</v>
      </c>
      <c r="D54">
        <v>15430767</v>
      </c>
      <c r="E54">
        <v>1</v>
      </c>
      <c r="F54">
        <v>1</v>
      </c>
      <c r="G54">
        <v>1</v>
      </c>
      <c r="H54">
        <v>1</v>
      </c>
      <c r="I54" t="s">
        <v>792</v>
      </c>
      <c r="J54" t="s">
        <v>6</v>
      </c>
      <c r="K54" t="s">
        <v>793</v>
      </c>
      <c r="L54">
        <v>1191</v>
      </c>
      <c r="N54">
        <v>1013</v>
      </c>
      <c r="O54" t="s">
        <v>708</v>
      </c>
      <c r="P54" t="s">
        <v>708</v>
      </c>
      <c r="Q54">
        <v>1</v>
      </c>
      <c r="X54">
        <v>36.71</v>
      </c>
      <c r="Y54">
        <v>0</v>
      </c>
      <c r="Z54">
        <v>0</v>
      </c>
      <c r="AA54">
        <v>0</v>
      </c>
      <c r="AB54">
        <v>8.5299999999999994</v>
      </c>
      <c r="AC54">
        <v>0</v>
      </c>
      <c r="AD54">
        <v>1</v>
      </c>
      <c r="AE54">
        <v>1</v>
      </c>
      <c r="AF54" t="s">
        <v>6</v>
      </c>
      <c r="AG54">
        <v>36.71</v>
      </c>
      <c r="AH54">
        <v>2</v>
      </c>
      <c r="AI54">
        <v>16810237</v>
      </c>
      <c r="AJ54">
        <v>51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ROW(Source!A40)</f>
        <v>40</v>
      </c>
      <c r="B55">
        <v>16810242</v>
      </c>
      <c r="C55">
        <v>16810236</v>
      </c>
      <c r="D55">
        <v>15430395</v>
      </c>
      <c r="E55">
        <v>1</v>
      </c>
      <c r="F55">
        <v>1</v>
      </c>
      <c r="G55">
        <v>1</v>
      </c>
      <c r="H55">
        <v>1</v>
      </c>
      <c r="I55" t="s">
        <v>709</v>
      </c>
      <c r="J55" t="s">
        <v>6</v>
      </c>
      <c r="K55" t="s">
        <v>710</v>
      </c>
      <c r="L55">
        <v>1191</v>
      </c>
      <c r="N55">
        <v>1013</v>
      </c>
      <c r="O55" t="s">
        <v>708</v>
      </c>
      <c r="P55" t="s">
        <v>708</v>
      </c>
      <c r="Q55">
        <v>1</v>
      </c>
      <c r="X55">
        <v>7.0000000000000007E-2</v>
      </c>
      <c r="Y55">
        <v>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2</v>
      </c>
      <c r="AF55" t="s">
        <v>6</v>
      </c>
      <c r="AG55">
        <v>7.0000000000000007E-2</v>
      </c>
      <c r="AH55">
        <v>2</v>
      </c>
      <c r="AI55">
        <v>16810238</v>
      </c>
      <c r="AJ55">
        <v>52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ROW(Source!A40)</f>
        <v>40</v>
      </c>
      <c r="B56">
        <v>16810243</v>
      </c>
      <c r="C56">
        <v>16810236</v>
      </c>
      <c r="D56">
        <v>15247974</v>
      </c>
      <c r="E56">
        <v>1</v>
      </c>
      <c r="F56">
        <v>1</v>
      </c>
      <c r="G56">
        <v>1</v>
      </c>
      <c r="H56">
        <v>2</v>
      </c>
      <c r="I56" t="s">
        <v>711</v>
      </c>
      <c r="J56" t="s">
        <v>712</v>
      </c>
      <c r="K56" t="s">
        <v>713</v>
      </c>
      <c r="L56">
        <v>1368</v>
      </c>
      <c r="N56">
        <v>1011</v>
      </c>
      <c r="O56" t="s">
        <v>714</v>
      </c>
      <c r="P56" t="s">
        <v>714</v>
      </c>
      <c r="Q56">
        <v>1</v>
      </c>
      <c r="X56">
        <v>7.0000000000000007E-2</v>
      </c>
      <c r="Y56">
        <v>0</v>
      </c>
      <c r="Z56">
        <v>31.26</v>
      </c>
      <c r="AA56">
        <v>13.5</v>
      </c>
      <c r="AB56">
        <v>0</v>
      </c>
      <c r="AC56">
        <v>0</v>
      </c>
      <c r="AD56">
        <v>1</v>
      </c>
      <c r="AE56">
        <v>0</v>
      </c>
      <c r="AF56" t="s">
        <v>6</v>
      </c>
      <c r="AG56">
        <v>7.0000000000000007E-2</v>
      </c>
      <c r="AH56">
        <v>2</v>
      </c>
      <c r="AI56">
        <v>16810239</v>
      </c>
      <c r="AJ56">
        <v>53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ROW(Source!A40)</f>
        <v>40</v>
      </c>
      <c r="B57">
        <v>16810244</v>
      </c>
      <c r="C57">
        <v>16810236</v>
      </c>
      <c r="D57">
        <v>15164576</v>
      </c>
      <c r="E57">
        <v>17</v>
      </c>
      <c r="F57">
        <v>1</v>
      </c>
      <c r="G57">
        <v>1</v>
      </c>
      <c r="H57">
        <v>3</v>
      </c>
      <c r="I57" t="s">
        <v>102</v>
      </c>
      <c r="J57" t="s">
        <v>6</v>
      </c>
      <c r="K57" t="s">
        <v>103</v>
      </c>
      <c r="L57">
        <v>1348</v>
      </c>
      <c r="N57">
        <v>1009</v>
      </c>
      <c r="O57" t="s">
        <v>104</v>
      </c>
      <c r="P57" t="s">
        <v>104</v>
      </c>
      <c r="Q57">
        <v>1000</v>
      </c>
      <c r="X57">
        <v>0.22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 t="s">
        <v>6</v>
      </c>
      <c r="AG57">
        <v>0.22</v>
      </c>
      <c r="AH57">
        <v>2</v>
      </c>
      <c r="AI57">
        <v>16810240</v>
      </c>
      <c r="AJ57">
        <v>54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ROW(Source!A42)</f>
        <v>42</v>
      </c>
      <c r="B58">
        <v>16810251</v>
      </c>
      <c r="C58">
        <v>16810246</v>
      </c>
      <c r="D58">
        <v>15430767</v>
      </c>
      <c r="E58">
        <v>1</v>
      </c>
      <c r="F58">
        <v>1</v>
      </c>
      <c r="G58">
        <v>1</v>
      </c>
      <c r="H58">
        <v>1</v>
      </c>
      <c r="I58" t="s">
        <v>792</v>
      </c>
      <c r="J58" t="s">
        <v>6</v>
      </c>
      <c r="K58" t="s">
        <v>793</v>
      </c>
      <c r="L58">
        <v>1191</v>
      </c>
      <c r="N58">
        <v>1013</v>
      </c>
      <c r="O58" t="s">
        <v>708</v>
      </c>
      <c r="P58" t="s">
        <v>708</v>
      </c>
      <c r="Q58">
        <v>1</v>
      </c>
      <c r="X58">
        <v>51.3</v>
      </c>
      <c r="Y58">
        <v>0</v>
      </c>
      <c r="Z58">
        <v>0</v>
      </c>
      <c r="AA58">
        <v>0</v>
      </c>
      <c r="AB58">
        <v>8.5299999999999994</v>
      </c>
      <c r="AC58">
        <v>0</v>
      </c>
      <c r="AD58">
        <v>1</v>
      </c>
      <c r="AE58">
        <v>1</v>
      </c>
      <c r="AF58" t="s">
        <v>6</v>
      </c>
      <c r="AG58">
        <v>51.3</v>
      </c>
      <c r="AH58">
        <v>2</v>
      </c>
      <c r="AI58">
        <v>16810247</v>
      </c>
      <c r="AJ58">
        <v>55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ROW(Source!A42)</f>
        <v>42</v>
      </c>
      <c r="B59">
        <v>16810252</v>
      </c>
      <c r="C59">
        <v>16810246</v>
      </c>
      <c r="D59">
        <v>15430395</v>
      </c>
      <c r="E59">
        <v>1</v>
      </c>
      <c r="F59">
        <v>1</v>
      </c>
      <c r="G59">
        <v>1</v>
      </c>
      <c r="H59">
        <v>1</v>
      </c>
      <c r="I59" t="s">
        <v>709</v>
      </c>
      <c r="J59" t="s">
        <v>6</v>
      </c>
      <c r="K59" t="s">
        <v>710</v>
      </c>
      <c r="L59">
        <v>1191</v>
      </c>
      <c r="N59">
        <v>1013</v>
      </c>
      <c r="O59" t="s">
        <v>708</v>
      </c>
      <c r="P59" t="s">
        <v>708</v>
      </c>
      <c r="Q59">
        <v>1</v>
      </c>
      <c r="X59">
        <v>0.26</v>
      </c>
      <c r="Y59">
        <v>0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2</v>
      </c>
      <c r="AF59" t="s">
        <v>6</v>
      </c>
      <c r="AG59">
        <v>0.26</v>
      </c>
      <c r="AH59">
        <v>2</v>
      </c>
      <c r="AI59">
        <v>16810248</v>
      </c>
      <c r="AJ59">
        <v>56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ROW(Source!A42)</f>
        <v>42</v>
      </c>
      <c r="B60">
        <v>16810253</v>
      </c>
      <c r="C60">
        <v>16810246</v>
      </c>
      <c r="D60">
        <v>15247974</v>
      </c>
      <c r="E60">
        <v>1</v>
      </c>
      <c r="F60">
        <v>1</v>
      </c>
      <c r="G60">
        <v>1</v>
      </c>
      <c r="H60">
        <v>2</v>
      </c>
      <c r="I60" t="s">
        <v>711</v>
      </c>
      <c r="J60" t="s">
        <v>712</v>
      </c>
      <c r="K60" t="s">
        <v>713</v>
      </c>
      <c r="L60">
        <v>1368</v>
      </c>
      <c r="N60">
        <v>1011</v>
      </c>
      <c r="O60" t="s">
        <v>714</v>
      </c>
      <c r="P60" t="s">
        <v>714</v>
      </c>
      <c r="Q60">
        <v>1</v>
      </c>
      <c r="X60">
        <v>0.26</v>
      </c>
      <c r="Y60">
        <v>0</v>
      </c>
      <c r="Z60">
        <v>31.26</v>
      </c>
      <c r="AA60">
        <v>13.5</v>
      </c>
      <c r="AB60">
        <v>0</v>
      </c>
      <c r="AC60">
        <v>0</v>
      </c>
      <c r="AD60">
        <v>1</v>
      </c>
      <c r="AE60">
        <v>0</v>
      </c>
      <c r="AF60" t="s">
        <v>6</v>
      </c>
      <c r="AG60">
        <v>0.26</v>
      </c>
      <c r="AH60">
        <v>2</v>
      </c>
      <c r="AI60">
        <v>16810249</v>
      </c>
      <c r="AJ60">
        <v>57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ROW(Source!A42)</f>
        <v>42</v>
      </c>
      <c r="B61">
        <v>16810254</v>
      </c>
      <c r="C61">
        <v>16810246</v>
      </c>
      <c r="D61">
        <v>15164576</v>
      </c>
      <c r="E61">
        <v>17</v>
      </c>
      <c r="F61">
        <v>1</v>
      </c>
      <c r="G61">
        <v>1</v>
      </c>
      <c r="H61">
        <v>3</v>
      </c>
      <c r="I61" t="s">
        <v>102</v>
      </c>
      <c r="J61" t="s">
        <v>6</v>
      </c>
      <c r="K61" t="s">
        <v>103</v>
      </c>
      <c r="L61">
        <v>1348</v>
      </c>
      <c r="N61">
        <v>1009</v>
      </c>
      <c r="O61" t="s">
        <v>104</v>
      </c>
      <c r="P61" t="s">
        <v>104</v>
      </c>
      <c r="Q61">
        <v>1000</v>
      </c>
      <c r="X61">
        <v>1.82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 t="s">
        <v>6</v>
      </c>
      <c r="AG61">
        <v>1.82</v>
      </c>
      <c r="AH61">
        <v>3</v>
      </c>
      <c r="AI61">
        <v>-1</v>
      </c>
      <c r="AJ61" t="s">
        <v>6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ROW(Source!A43)</f>
        <v>43</v>
      </c>
      <c r="B62">
        <v>16810264</v>
      </c>
      <c r="C62">
        <v>16810256</v>
      </c>
      <c r="D62">
        <v>15432356</v>
      </c>
      <c r="E62">
        <v>1</v>
      </c>
      <c r="F62">
        <v>1</v>
      </c>
      <c r="G62">
        <v>1</v>
      </c>
      <c r="H62">
        <v>1</v>
      </c>
      <c r="I62" t="s">
        <v>794</v>
      </c>
      <c r="J62" t="s">
        <v>6</v>
      </c>
      <c r="K62" t="s">
        <v>795</v>
      </c>
      <c r="L62">
        <v>1191</v>
      </c>
      <c r="N62">
        <v>1013</v>
      </c>
      <c r="O62" t="s">
        <v>708</v>
      </c>
      <c r="P62" t="s">
        <v>708</v>
      </c>
      <c r="Q62">
        <v>1</v>
      </c>
      <c r="X62">
        <v>34.659999999999997</v>
      </c>
      <c r="Y62">
        <v>0</v>
      </c>
      <c r="Z62">
        <v>0</v>
      </c>
      <c r="AA62">
        <v>0</v>
      </c>
      <c r="AB62">
        <v>8.31</v>
      </c>
      <c r="AC62">
        <v>0</v>
      </c>
      <c r="AD62">
        <v>1</v>
      </c>
      <c r="AE62">
        <v>1</v>
      </c>
      <c r="AF62" t="s">
        <v>6</v>
      </c>
      <c r="AG62">
        <v>34.659999999999997</v>
      </c>
      <c r="AH62">
        <v>2</v>
      </c>
      <c r="AI62">
        <v>16810257</v>
      </c>
      <c r="AJ62">
        <v>58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ROW(Source!A43)</f>
        <v>43</v>
      </c>
      <c r="B63">
        <v>16810265</v>
      </c>
      <c r="C63">
        <v>16810256</v>
      </c>
      <c r="D63">
        <v>15430395</v>
      </c>
      <c r="E63">
        <v>1</v>
      </c>
      <c r="F63">
        <v>1</v>
      </c>
      <c r="G63">
        <v>1</v>
      </c>
      <c r="H63">
        <v>1</v>
      </c>
      <c r="I63" t="s">
        <v>709</v>
      </c>
      <c r="J63" t="s">
        <v>6</v>
      </c>
      <c r="K63" t="s">
        <v>710</v>
      </c>
      <c r="L63">
        <v>1191</v>
      </c>
      <c r="N63">
        <v>1013</v>
      </c>
      <c r="O63" t="s">
        <v>708</v>
      </c>
      <c r="P63" t="s">
        <v>708</v>
      </c>
      <c r="Q63">
        <v>1</v>
      </c>
      <c r="X63">
        <v>0.1</v>
      </c>
      <c r="Y63">
        <v>0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2</v>
      </c>
      <c r="AF63" t="s">
        <v>6</v>
      </c>
      <c r="AG63">
        <v>0.1</v>
      </c>
      <c r="AH63">
        <v>2</v>
      </c>
      <c r="AI63">
        <v>16810258</v>
      </c>
      <c r="AJ63">
        <v>59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ROW(Source!A43)</f>
        <v>43</v>
      </c>
      <c r="B64">
        <v>16810266</v>
      </c>
      <c r="C64">
        <v>16810256</v>
      </c>
      <c r="D64">
        <v>15247974</v>
      </c>
      <c r="E64">
        <v>1</v>
      </c>
      <c r="F64">
        <v>1</v>
      </c>
      <c r="G64">
        <v>1</v>
      </c>
      <c r="H64">
        <v>2</v>
      </c>
      <c r="I64" t="s">
        <v>711</v>
      </c>
      <c r="J64" t="s">
        <v>712</v>
      </c>
      <c r="K64" t="s">
        <v>713</v>
      </c>
      <c r="L64">
        <v>1368</v>
      </c>
      <c r="N64">
        <v>1011</v>
      </c>
      <c r="O64" t="s">
        <v>714</v>
      </c>
      <c r="P64" t="s">
        <v>714</v>
      </c>
      <c r="Q64">
        <v>1</v>
      </c>
      <c r="X64">
        <v>0.1</v>
      </c>
      <c r="Y64">
        <v>0</v>
      </c>
      <c r="Z64">
        <v>31.26</v>
      </c>
      <c r="AA64">
        <v>13.5</v>
      </c>
      <c r="AB64">
        <v>0</v>
      </c>
      <c r="AC64">
        <v>0</v>
      </c>
      <c r="AD64">
        <v>1</v>
      </c>
      <c r="AE64">
        <v>0</v>
      </c>
      <c r="AF64" t="s">
        <v>6</v>
      </c>
      <c r="AG64">
        <v>0.1</v>
      </c>
      <c r="AH64">
        <v>2</v>
      </c>
      <c r="AI64">
        <v>16810259</v>
      </c>
      <c r="AJ64">
        <v>60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ROW(Source!A43)</f>
        <v>43</v>
      </c>
      <c r="B65">
        <v>16810267</v>
      </c>
      <c r="C65">
        <v>16810256</v>
      </c>
      <c r="D65">
        <v>15249308</v>
      </c>
      <c r="E65">
        <v>1</v>
      </c>
      <c r="F65">
        <v>1</v>
      </c>
      <c r="G65">
        <v>1</v>
      </c>
      <c r="H65">
        <v>2</v>
      </c>
      <c r="I65" t="s">
        <v>796</v>
      </c>
      <c r="J65" t="s">
        <v>797</v>
      </c>
      <c r="K65" t="s">
        <v>798</v>
      </c>
      <c r="L65">
        <v>1368</v>
      </c>
      <c r="N65">
        <v>1011</v>
      </c>
      <c r="O65" t="s">
        <v>714</v>
      </c>
      <c r="P65" t="s">
        <v>714</v>
      </c>
      <c r="Q65">
        <v>1</v>
      </c>
      <c r="X65">
        <v>3.3</v>
      </c>
      <c r="Y65">
        <v>0</v>
      </c>
      <c r="Z65">
        <v>1.2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6</v>
      </c>
      <c r="AG65">
        <v>3.3</v>
      </c>
      <c r="AH65">
        <v>2</v>
      </c>
      <c r="AI65">
        <v>16810260</v>
      </c>
      <c r="AJ65">
        <v>61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ROW(Source!A43)</f>
        <v>43</v>
      </c>
      <c r="B66">
        <v>16810268</v>
      </c>
      <c r="C66">
        <v>16810256</v>
      </c>
      <c r="D66">
        <v>15165634</v>
      </c>
      <c r="E66">
        <v>1</v>
      </c>
      <c r="F66">
        <v>1</v>
      </c>
      <c r="G66">
        <v>1</v>
      </c>
      <c r="H66">
        <v>3</v>
      </c>
      <c r="I66" t="s">
        <v>799</v>
      </c>
      <c r="J66" t="s">
        <v>800</v>
      </c>
      <c r="K66" t="s">
        <v>801</v>
      </c>
      <c r="L66">
        <v>1339</v>
      </c>
      <c r="N66">
        <v>1007</v>
      </c>
      <c r="O66" t="s">
        <v>254</v>
      </c>
      <c r="P66" t="s">
        <v>254</v>
      </c>
      <c r="Q66">
        <v>1</v>
      </c>
      <c r="X66">
        <v>0.43</v>
      </c>
      <c r="Y66">
        <v>38.51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113</v>
      </c>
      <c r="AG66">
        <v>0</v>
      </c>
      <c r="AH66">
        <v>2</v>
      </c>
      <c r="AI66">
        <v>16810261</v>
      </c>
      <c r="AJ66">
        <v>62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ROW(Source!A43)</f>
        <v>43</v>
      </c>
      <c r="B67">
        <v>16810269</v>
      </c>
      <c r="C67">
        <v>16810256</v>
      </c>
      <c r="D67">
        <v>15165653</v>
      </c>
      <c r="E67">
        <v>1</v>
      </c>
      <c r="F67">
        <v>1</v>
      </c>
      <c r="G67">
        <v>1</v>
      </c>
      <c r="H67">
        <v>3</v>
      </c>
      <c r="I67" t="s">
        <v>802</v>
      </c>
      <c r="J67" t="s">
        <v>803</v>
      </c>
      <c r="K67" t="s">
        <v>804</v>
      </c>
      <c r="L67">
        <v>1339</v>
      </c>
      <c r="N67">
        <v>1007</v>
      </c>
      <c r="O67" t="s">
        <v>254</v>
      </c>
      <c r="P67" t="s">
        <v>254</v>
      </c>
      <c r="Q67">
        <v>1</v>
      </c>
      <c r="X67">
        <v>2.74</v>
      </c>
      <c r="Y67">
        <v>6.22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113</v>
      </c>
      <c r="AG67">
        <v>0</v>
      </c>
      <c r="AH67">
        <v>2</v>
      </c>
      <c r="AI67">
        <v>16810262</v>
      </c>
      <c r="AJ67">
        <v>63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ROW(Source!A43)</f>
        <v>43</v>
      </c>
      <c r="B68">
        <v>16810270</v>
      </c>
      <c r="C68">
        <v>16810256</v>
      </c>
      <c r="D68">
        <v>15164576</v>
      </c>
      <c r="E68">
        <v>17</v>
      </c>
      <c r="F68">
        <v>1</v>
      </c>
      <c r="G68">
        <v>1</v>
      </c>
      <c r="H68">
        <v>3</v>
      </c>
      <c r="I68" t="s">
        <v>102</v>
      </c>
      <c r="J68" t="s">
        <v>6</v>
      </c>
      <c r="K68" t="s">
        <v>103</v>
      </c>
      <c r="L68">
        <v>1348</v>
      </c>
      <c r="N68">
        <v>1009</v>
      </c>
      <c r="O68" t="s">
        <v>104</v>
      </c>
      <c r="P68" t="s">
        <v>104</v>
      </c>
      <c r="Q68">
        <v>1000</v>
      </c>
      <c r="X68">
        <v>0.22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 t="s">
        <v>113</v>
      </c>
      <c r="AG68">
        <v>0</v>
      </c>
      <c r="AH68">
        <v>3</v>
      </c>
      <c r="AI68">
        <v>-1</v>
      </c>
      <c r="AJ68" t="s">
        <v>6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ROW(Source!A44)</f>
        <v>44</v>
      </c>
      <c r="B69">
        <v>16810277</v>
      </c>
      <c r="C69">
        <v>16810272</v>
      </c>
      <c r="D69">
        <v>15430767</v>
      </c>
      <c r="E69">
        <v>1</v>
      </c>
      <c r="F69">
        <v>1</v>
      </c>
      <c r="G69">
        <v>1</v>
      </c>
      <c r="H69">
        <v>1</v>
      </c>
      <c r="I69" t="s">
        <v>792</v>
      </c>
      <c r="J69" t="s">
        <v>6</v>
      </c>
      <c r="K69" t="s">
        <v>793</v>
      </c>
      <c r="L69">
        <v>1191</v>
      </c>
      <c r="N69">
        <v>1013</v>
      </c>
      <c r="O69" t="s">
        <v>708</v>
      </c>
      <c r="P69" t="s">
        <v>708</v>
      </c>
      <c r="Q69">
        <v>1</v>
      </c>
      <c r="X69">
        <v>69.87</v>
      </c>
      <c r="Y69">
        <v>0</v>
      </c>
      <c r="Z69">
        <v>0</v>
      </c>
      <c r="AA69">
        <v>0</v>
      </c>
      <c r="AB69">
        <v>8.5299999999999994</v>
      </c>
      <c r="AC69">
        <v>0</v>
      </c>
      <c r="AD69">
        <v>1</v>
      </c>
      <c r="AE69">
        <v>1</v>
      </c>
      <c r="AF69" t="s">
        <v>6</v>
      </c>
      <c r="AG69">
        <v>69.87</v>
      </c>
      <c r="AH69">
        <v>2</v>
      </c>
      <c r="AI69">
        <v>16810273</v>
      </c>
      <c r="AJ69">
        <v>64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ROW(Source!A44)</f>
        <v>44</v>
      </c>
      <c r="B70">
        <v>16810278</v>
      </c>
      <c r="C70">
        <v>16810272</v>
      </c>
      <c r="D70">
        <v>15430395</v>
      </c>
      <c r="E70">
        <v>1</v>
      </c>
      <c r="F70">
        <v>1</v>
      </c>
      <c r="G70">
        <v>1</v>
      </c>
      <c r="H70">
        <v>1</v>
      </c>
      <c r="I70" t="s">
        <v>709</v>
      </c>
      <c r="J70" t="s">
        <v>6</v>
      </c>
      <c r="K70" t="s">
        <v>710</v>
      </c>
      <c r="L70">
        <v>1191</v>
      </c>
      <c r="N70">
        <v>1013</v>
      </c>
      <c r="O70" t="s">
        <v>708</v>
      </c>
      <c r="P70" t="s">
        <v>708</v>
      </c>
      <c r="Q70">
        <v>1</v>
      </c>
      <c r="X70">
        <v>1.44</v>
      </c>
      <c r="Y70">
        <v>0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2</v>
      </c>
      <c r="AF70" t="s">
        <v>6</v>
      </c>
      <c r="AG70">
        <v>1.44</v>
      </c>
      <c r="AH70">
        <v>2</v>
      </c>
      <c r="AI70">
        <v>16810274</v>
      </c>
      <c r="AJ70">
        <v>65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ROW(Source!A44)</f>
        <v>44</v>
      </c>
      <c r="B71">
        <v>16810279</v>
      </c>
      <c r="C71">
        <v>16810272</v>
      </c>
      <c r="D71">
        <v>15247974</v>
      </c>
      <c r="E71">
        <v>1</v>
      </c>
      <c r="F71">
        <v>1</v>
      </c>
      <c r="G71">
        <v>1</v>
      </c>
      <c r="H71">
        <v>2</v>
      </c>
      <c r="I71" t="s">
        <v>711</v>
      </c>
      <c r="J71" t="s">
        <v>712</v>
      </c>
      <c r="K71" t="s">
        <v>713</v>
      </c>
      <c r="L71">
        <v>1368</v>
      </c>
      <c r="N71">
        <v>1011</v>
      </c>
      <c r="O71" t="s">
        <v>714</v>
      </c>
      <c r="P71" t="s">
        <v>714</v>
      </c>
      <c r="Q71">
        <v>1</v>
      </c>
      <c r="X71">
        <v>1.44</v>
      </c>
      <c r="Y71">
        <v>0</v>
      </c>
      <c r="Z71">
        <v>31.26</v>
      </c>
      <c r="AA71">
        <v>13.5</v>
      </c>
      <c r="AB71">
        <v>0</v>
      </c>
      <c r="AC71">
        <v>0</v>
      </c>
      <c r="AD71">
        <v>1</v>
      </c>
      <c r="AE71">
        <v>0</v>
      </c>
      <c r="AF71" t="s">
        <v>6</v>
      </c>
      <c r="AG71">
        <v>1.44</v>
      </c>
      <c r="AH71">
        <v>2</v>
      </c>
      <c r="AI71">
        <v>16810275</v>
      </c>
      <c r="AJ71">
        <v>66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ROW(Source!A44)</f>
        <v>44</v>
      </c>
      <c r="B72">
        <v>16810280</v>
      </c>
      <c r="C72">
        <v>16810272</v>
      </c>
      <c r="D72">
        <v>15164566</v>
      </c>
      <c r="E72">
        <v>17</v>
      </c>
      <c r="F72">
        <v>1</v>
      </c>
      <c r="G72">
        <v>1</v>
      </c>
      <c r="H72">
        <v>3</v>
      </c>
      <c r="I72" t="s">
        <v>102</v>
      </c>
      <c r="J72" t="s">
        <v>6</v>
      </c>
      <c r="K72" t="s">
        <v>1034</v>
      </c>
      <c r="L72">
        <v>1348</v>
      </c>
      <c r="N72">
        <v>1009</v>
      </c>
      <c r="O72" t="s">
        <v>104</v>
      </c>
      <c r="P72" t="s">
        <v>104</v>
      </c>
      <c r="Q72">
        <v>1000</v>
      </c>
      <c r="X72">
        <v>5.2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 t="s">
        <v>6</v>
      </c>
      <c r="AG72">
        <v>5.2</v>
      </c>
      <c r="AH72">
        <v>3</v>
      </c>
      <c r="AI72">
        <v>-1</v>
      </c>
      <c r="AJ72" t="s">
        <v>6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ROW(Source!A79)</f>
        <v>79</v>
      </c>
      <c r="B73">
        <v>16810295</v>
      </c>
      <c r="C73">
        <v>16810282</v>
      </c>
      <c r="D73">
        <v>15438286</v>
      </c>
      <c r="E73">
        <v>1</v>
      </c>
      <c r="F73">
        <v>1</v>
      </c>
      <c r="G73">
        <v>1</v>
      </c>
      <c r="H73">
        <v>1</v>
      </c>
      <c r="I73" t="s">
        <v>805</v>
      </c>
      <c r="J73" t="s">
        <v>6</v>
      </c>
      <c r="K73" t="s">
        <v>806</v>
      </c>
      <c r="L73">
        <v>1191</v>
      </c>
      <c r="N73">
        <v>1013</v>
      </c>
      <c r="O73" t="s">
        <v>708</v>
      </c>
      <c r="P73" t="s">
        <v>708</v>
      </c>
      <c r="Q73">
        <v>1</v>
      </c>
      <c r="X73">
        <v>89.53</v>
      </c>
      <c r="Y73">
        <v>0</v>
      </c>
      <c r="Z73">
        <v>0</v>
      </c>
      <c r="AA73">
        <v>0</v>
      </c>
      <c r="AB73">
        <v>9.18</v>
      </c>
      <c r="AC73">
        <v>0</v>
      </c>
      <c r="AD73">
        <v>1</v>
      </c>
      <c r="AE73">
        <v>1</v>
      </c>
      <c r="AF73" t="s">
        <v>175</v>
      </c>
      <c r="AG73">
        <v>123.55139999999999</v>
      </c>
      <c r="AH73">
        <v>2</v>
      </c>
      <c r="AI73">
        <v>16810283</v>
      </c>
      <c r="AJ73">
        <v>67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ROW(Source!A79)</f>
        <v>79</v>
      </c>
      <c r="B74">
        <v>16810296</v>
      </c>
      <c r="C74">
        <v>16810282</v>
      </c>
      <c r="D74">
        <v>15430395</v>
      </c>
      <c r="E74">
        <v>1</v>
      </c>
      <c r="F74">
        <v>1</v>
      </c>
      <c r="G74">
        <v>1</v>
      </c>
      <c r="H74">
        <v>1</v>
      </c>
      <c r="I74" t="s">
        <v>709</v>
      </c>
      <c r="J74" t="s">
        <v>6</v>
      </c>
      <c r="K74" t="s">
        <v>710</v>
      </c>
      <c r="L74">
        <v>1191</v>
      </c>
      <c r="N74">
        <v>1013</v>
      </c>
      <c r="O74" t="s">
        <v>708</v>
      </c>
      <c r="P74" t="s">
        <v>708</v>
      </c>
      <c r="Q74">
        <v>1</v>
      </c>
      <c r="X74">
        <v>11.68</v>
      </c>
      <c r="Y74">
        <v>0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2</v>
      </c>
      <c r="AF74" t="s">
        <v>174</v>
      </c>
      <c r="AG74">
        <v>17.52</v>
      </c>
      <c r="AH74">
        <v>2</v>
      </c>
      <c r="AI74">
        <v>16810284</v>
      </c>
      <c r="AJ74">
        <v>68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ROW(Source!A79)</f>
        <v>79</v>
      </c>
      <c r="B75">
        <v>16810297</v>
      </c>
      <c r="C75">
        <v>16810282</v>
      </c>
      <c r="D75">
        <v>15247578</v>
      </c>
      <c r="E75">
        <v>1</v>
      </c>
      <c r="F75">
        <v>1</v>
      </c>
      <c r="G75">
        <v>1</v>
      </c>
      <c r="H75">
        <v>2</v>
      </c>
      <c r="I75" t="s">
        <v>807</v>
      </c>
      <c r="J75" t="s">
        <v>808</v>
      </c>
      <c r="K75" t="s">
        <v>809</v>
      </c>
      <c r="L75">
        <v>1368</v>
      </c>
      <c r="N75">
        <v>1011</v>
      </c>
      <c r="O75" t="s">
        <v>714</v>
      </c>
      <c r="P75" t="s">
        <v>714</v>
      </c>
      <c r="Q75">
        <v>1</v>
      </c>
      <c r="X75">
        <v>9.69</v>
      </c>
      <c r="Y75">
        <v>0</v>
      </c>
      <c r="Z75">
        <v>86.4</v>
      </c>
      <c r="AA75">
        <v>13.5</v>
      </c>
      <c r="AB75">
        <v>0</v>
      </c>
      <c r="AC75">
        <v>0</v>
      </c>
      <c r="AD75">
        <v>1</v>
      </c>
      <c r="AE75">
        <v>0</v>
      </c>
      <c r="AF75" t="s">
        <v>174</v>
      </c>
      <c r="AG75">
        <v>14.534999999999998</v>
      </c>
      <c r="AH75">
        <v>2</v>
      </c>
      <c r="AI75">
        <v>16810285</v>
      </c>
      <c r="AJ75">
        <v>69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ROW(Source!A79)</f>
        <v>79</v>
      </c>
      <c r="B76">
        <v>16810298</v>
      </c>
      <c r="C76">
        <v>16810282</v>
      </c>
      <c r="D76">
        <v>15249073</v>
      </c>
      <c r="E76">
        <v>1</v>
      </c>
      <c r="F76">
        <v>1</v>
      </c>
      <c r="G76">
        <v>1</v>
      </c>
      <c r="H76">
        <v>2</v>
      </c>
      <c r="I76" t="s">
        <v>724</v>
      </c>
      <c r="J76" t="s">
        <v>725</v>
      </c>
      <c r="K76" t="s">
        <v>726</v>
      </c>
      <c r="L76">
        <v>1368</v>
      </c>
      <c r="N76">
        <v>1011</v>
      </c>
      <c r="O76" t="s">
        <v>714</v>
      </c>
      <c r="P76" t="s">
        <v>714</v>
      </c>
      <c r="Q76">
        <v>1</v>
      </c>
      <c r="X76">
        <v>1.99</v>
      </c>
      <c r="Y76">
        <v>0</v>
      </c>
      <c r="Z76">
        <v>65.709999999999994</v>
      </c>
      <c r="AA76">
        <v>11.6</v>
      </c>
      <c r="AB76">
        <v>0</v>
      </c>
      <c r="AC76">
        <v>0</v>
      </c>
      <c r="AD76">
        <v>1</v>
      </c>
      <c r="AE76">
        <v>0</v>
      </c>
      <c r="AF76" t="s">
        <v>174</v>
      </c>
      <c r="AG76">
        <v>2.9849999999999999</v>
      </c>
      <c r="AH76">
        <v>2</v>
      </c>
      <c r="AI76">
        <v>16810286</v>
      </c>
      <c r="AJ76">
        <v>70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ROW(Source!A79)</f>
        <v>79</v>
      </c>
      <c r="B77">
        <v>16810299</v>
      </c>
      <c r="C77">
        <v>16810282</v>
      </c>
      <c r="D77">
        <v>15162381</v>
      </c>
      <c r="E77">
        <v>17</v>
      </c>
      <c r="F77">
        <v>1</v>
      </c>
      <c r="G77">
        <v>1</v>
      </c>
      <c r="H77">
        <v>3</v>
      </c>
      <c r="I77" t="s">
        <v>180</v>
      </c>
      <c r="J77" t="s">
        <v>6</v>
      </c>
      <c r="K77" t="s">
        <v>181</v>
      </c>
      <c r="L77">
        <v>1035</v>
      </c>
      <c r="N77">
        <v>1013</v>
      </c>
      <c r="O77" t="s">
        <v>182</v>
      </c>
      <c r="P77" t="s">
        <v>182</v>
      </c>
      <c r="Q77">
        <v>1</v>
      </c>
      <c r="X77">
        <v>0</v>
      </c>
      <c r="Y77">
        <v>0</v>
      </c>
      <c r="Z77">
        <v>0</v>
      </c>
      <c r="AA77">
        <v>0</v>
      </c>
      <c r="AB77">
        <v>0</v>
      </c>
      <c r="AC77">
        <v>1</v>
      </c>
      <c r="AD77">
        <v>0</v>
      </c>
      <c r="AE77">
        <v>0</v>
      </c>
      <c r="AF77" t="s">
        <v>6</v>
      </c>
      <c r="AG77">
        <v>0</v>
      </c>
      <c r="AH77">
        <v>2</v>
      </c>
      <c r="AI77">
        <v>16810288</v>
      </c>
      <c r="AJ77">
        <v>72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ROW(Source!A79)</f>
        <v>79</v>
      </c>
      <c r="B78">
        <v>16810300</v>
      </c>
      <c r="C78">
        <v>16810282</v>
      </c>
      <c r="D78">
        <v>15170039</v>
      </c>
      <c r="E78">
        <v>1</v>
      </c>
      <c r="F78">
        <v>1</v>
      </c>
      <c r="G78">
        <v>1</v>
      </c>
      <c r="H78">
        <v>3</v>
      </c>
      <c r="I78" t="s">
        <v>810</v>
      </c>
      <c r="J78" t="s">
        <v>811</v>
      </c>
      <c r="K78" t="s">
        <v>812</v>
      </c>
      <c r="L78">
        <v>1348</v>
      </c>
      <c r="N78">
        <v>1009</v>
      </c>
      <c r="O78" t="s">
        <v>104</v>
      </c>
      <c r="P78" t="s">
        <v>104</v>
      </c>
      <c r="Q78">
        <v>1000</v>
      </c>
      <c r="X78">
        <v>4.13E-3</v>
      </c>
      <c r="Y78">
        <v>11978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6</v>
      </c>
      <c r="AG78">
        <v>4.13E-3</v>
      </c>
      <c r="AH78">
        <v>2</v>
      </c>
      <c r="AI78">
        <v>16810289</v>
      </c>
      <c r="AJ78">
        <v>73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ROW(Source!A79)</f>
        <v>79</v>
      </c>
      <c r="B79">
        <v>16810301</v>
      </c>
      <c r="C79">
        <v>16810282</v>
      </c>
      <c r="D79">
        <v>15172818</v>
      </c>
      <c r="E79">
        <v>1</v>
      </c>
      <c r="F79">
        <v>1</v>
      </c>
      <c r="G79">
        <v>1</v>
      </c>
      <c r="H79">
        <v>3</v>
      </c>
      <c r="I79" t="s">
        <v>813</v>
      </c>
      <c r="J79" t="s">
        <v>814</v>
      </c>
      <c r="K79" t="s">
        <v>815</v>
      </c>
      <c r="L79">
        <v>1339</v>
      </c>
      <c r="N79">
        <v>1007</v>
      </c>
      <c r="O79" t="s">
        <v>254</v>
      </c>
      <c r="P79" t="s">
        <v>254</v>
      </c>
      <c r="Q79">
        <v>1</v>
      </c>
      <c r="X79">
        <v>0.105</v>
      </c>
      <c r="Y79">
        <v>458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6</v>
      </c>
      <c r="AG79">
        <v>0.105</v>
      </c>
      <c r="AH79">
        <v>2</v>
      </c>
      <c r="AI79">
        <v>16810290</v>
      </c>
      <c r="AJ79">
        <v>74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ROW(Source!A79)</f>
        <v>79</v>
      </c>
      <c r="B80">
        <v>16810302</v>
      </c>
      <c r="C80">
        <v>16810282</v>
      </c>
      <c r="D80">
        <v>15162455</v>
      </c>
      <c r="E80">
        <v>17</v>
      </c>
      <c r="F80">
        <v>1</v>
      </c>
      <c r="G80">
        <v>1</v>
      </c>
      <c r="H80">
        <v>3</v>
      </c>
      <c r="I80" t="s">
        <v>1035</v>
      </c>
      <c r="J80" t="s">
        <v>6</v>
      </c>
      <c r="K80" t="s">
        <v>1036</v>
      </c>
      <c r="L80">
        <v>1346</v>
      </c>
      <c r="N80">
        <v>1009</v>
      </c>
      <c r="O80" t="s">
        <v>300</v>
      </c>
      <c r="P80" t="s">
        <v>300</v>
      </c>
      <c r="Q80">
        <v>1</v>
      </c>
      <c r="X80">
        <v>37.5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 t="s">
        <v>6</v>
      </c>
      <c r="AG80">
        <v>37.5</v>
      </c>
      <c r="AH80">
        <v>3</v>
      </c>
      <c r="AI80">
        <v>-1</v>
      </c>
      <c r="AJ80" t="s">
        <v>6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ROW(Source!A79)</f>
        <v>79</v>
      </c>
      <c r="B81">
        <v>16810303</v>
      </c>
      <c r="C81">
        <v>16810282</v>
      </c>
      <c r="D81">
        <v>15196008</v>
      </c>
      <c r="E81">
        <v>1</v>
      </c>
      <c r="F81">
        <v>1</v>
      </c>
      <c r="G81">
        <v>1</v>
      </c>
      <c r="H81">
        <v>3</v>
      </c>
      <c r="I81" t="s">
        <v>816</v>
      </c>
      <c r="J81" t="s">
        <v>817</v>
      </c>
      <c r="K81" t="s">
        <v>818</v>
      </c>
      <c r="L81">
        <v>1339</v>
      </c>
      <c r="N81">
        <v>1007</v>
      </c>
      <c r="O81" t="s">
        <v>254</v>
      </c>
      <c r="P81" t="s">
        <v>254</v>
      </c>
      <c r="Q81">
        <v>1</v>
      </c>
      <c r="X81">
        <v>0.08</v>
      </c>
      <c r="Y81">
        <v>1100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6</v>
      </c>
      <c r="AG81">
        <v>0.08</v>
      </c>
      <c r="AH81">
        <v>2</v>
      </c>
      <c r="AI81">
        <v>16810291</v>
      </c>
      <c r="AJ81">
        <v>75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ROW(Source!A79)</f>
        <v>79</v>
      </c>
      <c r="B82">
        <v>16810304</v>
      </c>
      <c r="C82">
        <v>16810282</v>
      </c>
      <c r="D82">
        <v>15162477</v>
      </c>
      <c r="E82">
        <v>17</v>
      </c>
      <c r="F82">
        <v>1</v>
      </c>
      <c r="G82">
        <v>1</v>
      </c>
      <c r="H82">
        <v>3</v>
      </c>
      <c r="I82" t="s">
        <v>188</v>
      </c>
      <c r="J82" t="s">
        <v>6</v>
      </c>
      <c r="K82" t="s">
        <v>189</v>
      </c>
      <c r="L82">
        <v>1327</v>
      </c>
      <c r="N82">
        <v>1005</v>
      </c>
      <c r="O82" t="s">
        <v>190</v>
      </c>
      <c r="P82" t="s">
        <v>190</v>
      </c>
      <c r="Q82">
        <v>1</v>
      </c>
      <c r="X82">
        <v>100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 t="s">
        <v>6</v>
      </c>
      <c r="AG82">
        <v>100</v>
      </c>
      <c r="AH82">
        <v>2</v>
      </c>
      <c r="AI82">
        <v>16810292</v>
      </c>
      <c r="AJ82">
        <v>76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ROW(Source!A79)</f>
        <v>79</v>
      </c>
      <c r="B83">
        <v>16810305</v>
      </c>
      <c r="C83">
        <v>16810282</v>
      </c>
      <c r="D83">
        <v>15204315</v>
      </c>
      <c r="E83">
        <v>1</v>
      </c>
      <c r="F83">
        <v>1</v>
      </c>
      <c r="G83">
        <v>1</v>
      </c>
      <c r="H83">
        <v>3</v>
      </c>
      <c r="I83" t="s">
        <v>819</v>
      </c>
      <c r="J83" t="s">
        <v>820</v>
      </c>
      <c r="K83" t="s">
        <v>821</v>
      </c>
      <c r="L83">
        <v>1296</v>
      </c>
      <c r="N83">
        <v>1002</v>
      </c>
      <c r="O83" t="s">
        <v>822</v>
      </c>
      <c r="P83" t="s">
        <v>822</v>
      </c>
      <c r="Q83">
        <v>1</v>
      </c>
      <c r="X83">
        <v>32.4</v>
      </c>
      <c r="Y83">
        <v>46.86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6</v>
      </c>
      <c r="AG83">
        <v>32.4</v>
      </c>
      <c r="AH83">
        <v>2</v>
      </c>
      <c r="AI83">
        <v>16810294</v>
      </c>
      <c r="AJ83">
        <v>78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ROW(Source!A84)</f>
        <v>84</v>
      </c>
      <c r="B84">
        <v>16810317</v>
      </c>
      <c r="C84">
        <v>16810310</v>
      </c>
      <c r="D84">
        <v>15432236</v>
      </c>
      <c r="E84">
        <v>1</v>
      </c>
      <c r="F84">
        <v>1</v>
      </c>
      <c r="G84">
        <v>1</v>
      </c>
      <c r="H84">
        <v>1</v>
      </c>
      <c r="I84" t="s">
        <v>823</v>
      </c>
      <c r="J84" t="s">
        <v>6</v>
      </c>
      <c r="K84" t="s">
        <v>824</v>
      </c>
      <c r="L84">
        <v>1191</v>
      </c>
      <c r="N84">
        <v>1013</v>
      </c>
      <c r="O84" t="s">
        <v>708</v>
      </c>
      <c r="P84" t="s">
        <v>708</v>
      </c>
      <c r="Q84">
        <v>1</v>
      </c>
      <c r="X84">
        <v>7.82</v>
      </c>
      <c r="Y84">
        <v>0</v>
      </c>
      <c r="Z84">
        <v>0</v>
      </c>
      <c r="AA84">
        <v>0</v>
      </c>
      <c r="AB84">
        <v>8.17</v>
      </c>
      <c r="AC84">
        <v>0</v>
      </c>
      <c r="AD84">
        <v>1</v>
      </c>
      <c r="AE84">
        <v>1</v>
      </c>
      <c r="AF84" t="s">
        <v>175</v>
      </c>
      <c r="AG84">
        <v>10.791600000000001</v>
      </c>
      <c r="AH84">
        <v>2</v>
      </c>
      <c r="AI84">
        <v>16810311</v>
      </c>
      <c r="AJ84">
        <v>79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ROW(Source!A84)</f>
        <v>84</v>
      </c>
      <c r="B85">
        <v>16810318</v>
      </c>
      <c r="C85">
        <v>16810310</v>
      </c>
      <c r="D85">
        <v>15430395</v>
      </c>
      <c r="E85">
        <v>1</v>
      </c>
      <c r="F85">
        <v>1</v>
      </c>
      <c r="G85">
        <v>1</v>
      </c>
      <c r="H85">
        <v>1</v>
      </c>
      <c r="I85" t="s">
        <v>709</v>
      </c>
      <c r="J85" t="s">
        <v>6</v>
      </c>
      <c r="K85" t="s">
        <v>710</v>
      </c>
      <c r="L85">
        <v>1191</v>
      </c>
      <c r="N85">
        <v>1013</v>
      </c>
      <c r="O85" t="s">
        <v>708</v>
      </c>
      <c r="P85" t="s">
        <v>708</v>
      </c>
      <c r="Q85">
        <v>1</v>
      </c>
      <c r="X85">
        <v>0.04</v>
      </c>
      <c r="Y85">
        <v>0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2</v>
      </c>
      <c r="AF85" t="s">
        <v>174</v>
      </c>
      <c r="AG85">
        <v>0.06</v>
      </c>
      <c r="AH85">
        <v>2</v>
      </c>
      <c r="AI85">
        <v>16810312</v>
      </c>
      <c r="AJ85">
        <v>80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ROW(Source!A84)</f>
        <v>84</v>
      </c>
      <c r="B86">
        <v>16810319</v>
      </c>
      <c r="C86">
        <v>16810310</v>
      </c>
      <c r="D86">
        <v>15249073</v>
      </c>
      <c r="E86">
        <v>1</v>
      </c>
      <c r="F86">
        <v>1</v>
      </c>
      <c r="G86">
        <v>1</v>
      </c>
      <c r="H86">
        <v>2</v>
      </c>
      <c r="I86" t="s">
        <v>724</v>
      </c>
      <c r="J86" t="s">
        <v>725</v>
      </c>
      <c r="K86" t="s">
        <v>726</v>
      </c>
      <c r="L86">
        <v>1368</v>
      </c>
      <c r="N86">
        <v>1011</v>
      </c>
      <c r="O86" t="s">
        <v>714</v>
      </c>
      <c r="P86" t="s">
        <v>714</v>
      </c>
      <c r="Q86">
        <v>1</v>
      </c>
      <c r="X86">
        <v>0.04</v>
      </c>
      <c r="Y86">
        <v>0</v>
      </c>
      <c r="Z86">
        <v>65.709999999999994</v>
      </c>
      <c r="AA86">
        <v>11.6</v>
      </c>
      <c r="AB86">
        <v>0</v>
      </c>
      <c r="AC86">
        <v>0</v>
      </c>
      <c r="AD86">
        <v>1</v>
      </c>
      <c r="AE86">
        <v>0</v>
      </c>
      <c r="AF86" t="s">
        <v>174</v>
      </c>
      <c r="AG86">
        <v>0.06</v>
      </c>
      <c r="AH86">
        <v>2</v>
      </c>
      <c r="AI86">
        <v>16810313</v>
      </c>
      <c r="AJ86">
        <v>81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ROW(Source!A84)</f>
        <v>84</v>
      </c>
      <c r="B87">
        <v>16810320</v>
      </c>
      <c r="C87">
        <v>16810310</v>
      </c>
      <c r="D87">
        <v>15170039</v>
      </c>
      <c r="E87">
        <v>1</v>
      </c>
      <c r="F87">
        <v>1</v>
      </c>
      <c r="G87">
        <v>1</v>
      </c>
      <c r="H87">
        <v>3</v>
      </c>
      <c r="I87" t="s">
        <v>810</v>
      </c>
      <c r="J87" t="s">
        <v>811</v>
      </c>
      <c r="K87" t="s">
        <v>812</v>
      </c>
      <c r="L87">
        <v>1348</v>
      </c>
      <c r="N87">
        <v>1009</v>
      </c>
      <c r="O87" t="s">
        <v>104</v>
      </c>
      <c r="P87" t="s">
        <v>104</v>
      </c>
      <c r="Q87">
        <v>1000</v>
      </c>
      <c r="X87">
        <v>7.1000000000000002E-4</v>
      </c>
      <c r="Y87">
        <v>11978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6</v>
      </c>
      <c r="AG87">
        <v>7.1000000000000002E-4</v>
      </c>
      <c r="AH87">
        <v>2</v>
      </c>
      <c r="AI87">
        <v>16810314</v>
      </c>
      <c r="AJ87">
        <v>82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ROW(Source!A84)</f>
        <v>84</v>
      </c>
      <c r="B88">
        <v>16810321</v>
      </c>
      <c r="C88">
        <v>16810310</v>
      </c>
      <c r="D88">
        <v>15162185</v>
      </c>
      <c r="E88">
        <v>17</v>
      </c>
      <c r="F88">
        <v>1</v>
      </c>
      <c r="G88">
        <v>1</v>
      </c>
      <c r="H88">
        <v>3</v>
      </c>
      <c r="I88" t="s">
        <v>200</v>
      </c>
      <c r="J88" t="s">
        <v>6</v>
      </c>
      <c r="K88" t="s">
        <v>201</v>
      </c>
      <c r="L88">
        <v>1301</v>
      </c>
      <c r="N88">
        <v>1003</v>
      </c>
      <c r="O88" t="s">
        <v>202</v>
      </c>
      <c r="P88" t="s">
        <v>202</v>
      </c>
      <c r="Q88">
        <v>1</v>
      </c>
      <c r="X88">
        <v>112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 t="s">
        <v>6</v>
      </c>
      <c r="AG88">
        <v>112</v>
      </c>
      <c r="AH88">
        <v>2</v>
      </c>
      <c r="AI88">
        <v>16810315</v>
      </c>
      <c r="AJ88">
        <v>83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ROW(Source!A87)</f>
        <v>87</v>
      </c>
      <c r="B89">
        <v>16810331</v>
      </c>
      <c r="C89">
        <v>16810324</v>
      </c>
      <c r="D89">
        <v>15430497</v>
      </c>
      <c r="E89">
        <v>1</v>
      </c>
      <c r="F89">
        <v>1</v>
      </c>
      <c r="G89">
        <v>1</v>
      </c>
      <c r="H89">
        <v>1</v>
      </c>
      <c r="I89" t="s">
        <v>825</v>
      </c>
      <c r="J89" t="s">
        <v>6</v>
      </c>
      <c r="K89" t="s">
        <v>826</v>
      </c>
      <c r="L89">
        <v>1191</v>
      </c>
      <c r="N89">
        <v>1013</v>
      </c>
      <c r="O89" t="s">
        <v>708</v>
      </c>
      <c r="P89" t="s">
        <v>708</v>
      </c>
      <c r="Q89">
        <v>1</v>
      </c>
      <c r="X89">
        <v>228.35</v>
      </c>
      <c r="Y89">
        <v>0</v>
      </c>
      <c r="Z89">
        <v>0</v>
      </c>
      <c r="AA89">
        <v>0</v>
      </c>
      <c r="AB89">
        <v>8.86</v>
      </c>
      <c r="AC89">
        <v>0</v>
      </c>
      <c r="AD89">
        <v>1</v>
      </c>
      <c r="AE89">
        <v>1</v>
      </c>
      <c r="AF89" t="s">
        <v>6</v>
      </c>
      <c r="AG89">
        <v>228.35</v>
      </c>
      <c r="AH89">
        <v>2</v>
      </c>
      <c r="AI89">
        <v>16810325</v>
      </c>
      <c r="AJ89">
        <v>85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ROW(Source!A87)</f>
        <v>87</v>
      </c>
      <c r="B90">
        <v>16810332</v>
      </c>
      <c r="C90">
        <v>16810324</v>
      </c>
      <c r="D90">
        <v>15430395</v>
      </c>
      <c r="E90">
        <v>1</v>
      </c>
      <c r="F90">
        <v>1</v>
      </c>
      <c r="G90">
        <v>1</v>
      </c>
      <c r="H90">
        <v>1</v>
      </c>
      <c r="I90" t="s">
        <v>709</v>
      </c>
      <c r="J90" t="s">
        <v>6</v>
      </c>
      <c r="K90" t="s">
        <v>710</v>
      </c>
      <c r="L90">
        <v>1191</v>
      </c>
      <c r="N90">
        <v>1013</v>
      </c>
      <c r="O90" t="s">
        <v>708</v>
      </c>
      <c r="P90" t="s">
        <v>708</v>
      </c>
      <c r="Q90">
        <v>1</v>
      </c>
      <c r="X90">
        <v>0.67</v>
      </c>
      <c r="Y90">
        <v>0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2</v>
      </c>
      <c r="AF90" t="s">
        <v>6</v>
      </c>
      <c r="AG90">
        <v>0.67</v>
      </c>
      <c r="AH90">
        <v>2</v>
      </c>
      <c r="AI90">
        <v>16810326</v>
      </c>
      <c r="AJ90">
        <v>86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ROW(Source!A87)</f>
        <v>87</v>
      </c>
      <c r="B91">
        <v>16810333</v>
      </c>
      <c r="C91">
        <v>16810324</v>
      </c>
      <c r="D91">
        <v>15247974</v>
      </c>
      <c r="E91">
        <v>1</v>
      </c>
      <c r="F91">
        <v>1</v>
      </c>
      <c r="G91">
        <v>1</v>
      </c>
      <c r="H91">
        <v>2</v>
      </c>
      <c r="I91" t="s">
        <v>711</v>
      </c>
      <c r="J91" t="s">
        <v>712</v>
      </c>
      <c r="K91" t="s">
        <v>713</v>
      </c>
      <c r="L91">
        <v>1368</v>
      </c>
      <c r="N91">
        <v>1011</v>
      </c>
      <c r="O91" t="s">
        <v>714</v>
      </c>
      <c r="P91" t="s">
        <v>714</v>
      </c>
      <c r="Q91">
        <v>1</v>
      </c>
      <c r="X91">
        <v>0.67</v>
      </c>
      <c r="Y91">
        <v>0</v>
      </c>
      <c r="Z91">
        <v>31.26</v>
      </c>
      <c r="AA91">
        <v>13.5</v>
      </c>
      <c r="AB91">
        <v>0</v>
      </c>
      <c r="AC91">
        <v>0</v>
      </c>
      <c r="AD91">
        <v>1</v>
      </c>
      <c r="AE91">
        <v>0</v>
      </c>
      <c r="AF91" t="s">
        <v>6</v>
      </c>
      <c r="AG91">
        <v>0.67</v>
      </c>
      <c r="AH91">
        <v>2</v>
      </c>
      <c r="AI91">
        <v>16810327</v>
      </c>
      <c r="AJ91">
        <v>87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ROW(Source!A87)</f>
        <v>87</v>
      </c>
      <c r="B92">
        <v>16810334</v>
      </c>
      <c r="C92">
        <v>16810324</v>
      </c>
      <c r="D92">
        <v>15167286</v>
      </c>
      <c r="E92">
        <v>1</v>
      </c>
      <c r="F92">
        <v>1</v>
      </c>
      <c r="G92">
        <v>1</v>
      </c>
      <c r="H92">
        <v>3</v>
      </c>
      <c r="I92" t="s">
        <v>781</v>
      </c>
      <c r="J92" t="s">
        <v>782</v>
      </c>
      <c r="K92" t="s">
        <v>783</v>
      </c>
      <c r="L92">
        <v>1339</v>
      </c>
      <c r="N92">
        <v>1007</v>
      </c>
      <c r="O92" t="s">
        <v>254</v>
      </c>
      <c r="P92" t="s">
        <v>254</v>
      </c>
      <c r="Q92">
        <v>1</v>
      </c>
      <c r="X92">
        <v>0.35</v>
      </c>
      <c r="Y92">
        <v>2.44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6</v>
      </c>
      <c r="AG92">
        <v>0.35</v>
      </c>
      <c r="AH92">
        <v>2</v>
      </c>
      <c r="AI92">
        <v>16810328</v>
      </c>
      <c r="AJ92">
        <v>88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ROW(Source!A87)</f>
        <v>87</v>
      </c>
      <c r="B93">
        <v>16810335</v>
      </c>
      <c r="C93">
        <v>16810324</v>
      </c>
      <c r="D93">
        <v>15164566</v>
      </c>
      <c r="E93">
        <v>17</v>
      </c>
      <c r="F93">
        <v>1</v>
      </c>
      <c r="G93">
        <v>1</v>
      </c>
      <c r="H93">
        <v>3</v>
      </c>
      <c r="I93" t="s">
        <v>102</v>
      </c>
      <c r="J93" t="s">
        <v>6</v>
      </c>
      <c r="K93" t="s">
        <v>1034</v>
      </c>
      <c r="L93">
        <v>1348</v>
      </c>
      <c r="N93">
        <v>1009</v>
      </c>
      <c r="O93" t="s">
        <v>104</v>
      </c>
      <c r="P93" t="s">
        <v>104</v>
      </c>
      <c r="Q93">
        <v>1000</v>
      </c>
      <c r="X93">
        <v>3.38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 t="s">
        <v>6</v>
      </c>
      <c r="AG93">
        <v>3.38</v>
      </c>
      <c r="AH93">
        <v>3</v>
      </c>
      <c r="AI93">
        <v>-1</v>
      </c>
      <c r="AJ93" t="s">
        <v>6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ROW(Source!A87)</f>
        <v>87</v>
      </c>
      <c r="B94">
        <v>16810336</v>
      </c>
      <c r="C94">
        <v>16810324</v>
      </c>
      <c r="D94">
        <v>15172875</v>
      </c>
      <c r="E94">
        <v>1</v>
      </c>
      <c r="F94">
        <v>1</v>
      </c>
      <c r="G94">
        <v>1</v>
      </c>
      <c r="H94">
        <v>3</v>
      </c>
      <c r="I94" t="s">
        <v>827</v>
      </c>
      <c r="J94" t="s">
        <v>828</v>
      </c>
      <c r="K94" t="s">
        <v>829</v>
      </c>
      <c r="L94">
        <v>1339</v>
      </c>
      <c r="N94">
        <v>1007</v>
      </c>
      <c r="O94" t="s">
        <v>254</v>
      </c>
      <c r="P94" t="s">
        <v>254</v>
      </c>
      <c r="Q94">
        <v>1</v>
      </c>
      <c r="X94">
        <v>2.2000000000000002</v>
      </c>
      <c r="Y94">
        <v>517.91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6</v>
      </c>
      <c r="AG94">
        <v>2.2000000000000002</v>
      </c>
      <c r="AH94">
        <v>2</v>
      </c>
      <c r="AI94">
        <v>16810330</v>
      </c>
      <c r="AJ94">
        <v>89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ROW(Source!A88)</f>
        <v>88</v>
      </c>
      <c r="B95">
        <v>16810342</v>
      </c>
      <c r="C95">
        <v>16810338</v>
      </c>
      <c r="D95">
        <v>15430517</v>
      </c>
      <c r="E95">
        <v>1</v>
      </c>
      <c r="F95">
        <v>1</v>
      </c>
      <c r="G95">
        <v>1</v>
      </c>
      <c r="H95">
        <v>1</v>
      </c>
      <c r="I95" t="s">
        <v>717</v>
      </c>
      <c r="J95" t="s">
        <v>6</v>
      </c>
      <c r="K95" t="s">
        <v>718</v>
      </c>
      <c r="L95">
        <v>1191</v>
      </c>
      <c r="N95">
        <v>1013</v>
      </c>
      <c r="O95" t="s">
        <v>708</v>
      </c>
      <c r="P95" t="s">
        <v>708</v>
      </c>
      <c r="Q95">
        <v>1</v>
      </c>
      <c r="X95">
        <v>3.77</v>
      </c>
      <c r="Y95">
        <v>0</v>
      </c>
      <c r="Z95">
        <v>0</v>
      </c>
      <c r="AA95">
        <v>0</v>
      </c>
      <c r="AB95">
        <v>7.8</v>
      </c>
      <c r="AC95">
        <v>0</v>
      </c>
      <c r="AD95">
        <v>1</v>
      </c>
      <c r="AE95">
        <v>1</v>
      </c>
      <c r="AF95" t="s">
        <v>6</v>
      </c>
      <c r="AG95">
        <v>3.77</v>
      </c>
      <c r="AH95">
        <v>2</v>
      </c>
      <c r="AI95">
        <v>16810339</v>
      </c>
      <c r="AJ95">
        <v>90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ROW(Source!A88)</f>
        <v>88</v>
      </c>
      <c r="B96">
        <v>16810343</v>
      </c>
      <c r="C96">
        <v>16810338</v>
      </c>
      <c r="D96">
        <v>15165926</v>
      </c>
      <c r="E96">
        <v>1</v>
      </c>
      <c r="F96">
        <v>1</v>
      </c>
      <c r="G96">
        <v>1</v>
      </c>
      <c r="H96">
        <v>3</v>
      </c>
      <c r="I96" t="s">
        <v>830</v>
      </c>
      <c r="J96" t="s">
        <v>831</v>
      </c>
      <c r="K96" t="s">
        <v>832</v>
      </c>
      <c r="L96">
        <v>1348</v>
      </c>
      <c r="N96">
        <v>1009</v>
      </c>
      <c r="O96" t="s">
        <v>104</v>
      </c>
      <c r="P96" t="s">
        <v>104</v>
      </c>
      <c r="Q96">
        <v>1000</v>
      </c>
      <c r="X96">
        <v>1E-3</v>
      </c>
      <c r="Y96">
        <v>7571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6</v>
      </c>
      <c r="AG96">
        <v>1E-3</v>
      </c>
      <c r="AH96">
        <v>2</v>
      </c>
      <c r="AI96">
        <v>16810340</v>
      </c>
      <c r="AJ96">
        <v>91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ROW(Source!A88)</f>
        <v>88</v>
      </c>
      <c r="B97">
        <v>16810344</v>
      </c>
      <c r="C97">
        <v>16810338</v>
      </c>
      <c r="D97">
        <v>15167286</v>
      </c>
      <c r="E97">
        <v>1</v>
      </c>
      <c r="F97">
        <v>1</v>
      </c>
      <c r="G97">
        <v>1</v>
      </c>
      <c r="H97">
        <v>3</v>
      </c>
      <c r="I97" t="s">
        <v>781</v>
      </c>
      <c r="J97" t="s">
        <v>782</v>
      </c>
      <c r="K97" t="s">
        <v>783</v>
      </c>
      <c r="L97">
        <v>1339</v>
      </c>
      <c r="N97">
        <v>1007</v>
      </c>
      <c r="O97" t="s">
        <v>254</v>
      </c>
      <c r="P97" t="s">
        <v>254</v>
      </c>
      <c r="Q97">
        <v>1</v>
      </c>
      <c r="X97">
        <v>0.05</v>
      </c>
      <c r="Y97">
        <v>2.44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6</v>
      </c>
      <c r="AG97">
        <v>0.05</v>
      </c>
      <c r="AH97">
        <v>2</v>
      </c>
      <c r="AI97">
        <v>16810341</v>
      </c>
      <c r="AJ97">
        <v>92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ROW(Source!A89)</f>
        <v>89</v>
      </c>
      <c r="B98">
        <v>16810353</v>
      </c>
      <c r="C98">
        <v>16810345</v>
      </c>
      <c r="D98">
        <v>15436556</v>
      </c>
      <c r="E98">
        <v>1</v>
      </c>
      <c r="F98">
        <v>1</v>
      </c>
      <c r="G98">
        <v>1</v>
      </c>
      <c r="H98">
        <v>1</v>
      </c>
      <c r="I98" t="s">
        <v>748</v>
      </c>
      <c r="J98" t="s">
        <v>6</v>
      </c>
      <c r="K98" t="s">
        <v>749</v>
      </c>
      <c r="L98">
        <v>1191</v>
      </c>
      <c r="N98">
        <v>1013</v>
      </c>
      <c r="O98" t="s">
        <v>708</v>
      </c>
      <c r="P98" t="s">
        <v>708</v>
      </c>
      <c r="Q98">
        <v>1</v>
      </c>
      <c r="X98">
        <v>6.55</v>
      </c>
      <c r="Y98">
        <v>0</v>
      </c>
      <c r="Z98">
        <v>0</v>
      </c>
      <c r="AA98">
        <v>0</v>
      </c>
      <c r="AB98">
        <v>9.6199999999999992</v>
      </c>
      <c r="AC98">
        <v>0</v>
      </c>
      <c r="AD98">
        <v>1</v>
      </c>
      <c r="AE98">
        <v>1</v>
      </c>
      <c r="AF98" t="s">
        <v>175</v>
      </c>
      <c r="AG98">
        <v>9.0389999999999979</v>
      </c>
      <c r="AH98">
        <v>2</v>
      </c>
      <c r="AI98">
        <v>16810346</v>
      </c>
      <c r="AJ98">
        <v>93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ROW(Source!A89)</f>
        <v>89</v>
      </c>
      <c r="B99">
        <v>16810354</v>
      </c>
      <c r="C99">
        <v>16810345</v>
      </c>
      <c r="D99">
        <v>15430395</v>
      </c>
      <c r="E99">
        <v>1</v>
      </c>
      <c r="F99">
        <v>1</v>
      </c>
      <c r="G99">
        <v>1</v>
      </c>
      <c r="H99">
        <v>1</v>
      </c>
      <c r="I99" t="s">
        <v>709</v>
      </c>
      <c r="J99" t="s">
        <v>6</v>
      </c>
      <c r="K99" t="s">
        <v>710</v>
      </c>
      <c r="L99">
        <v>1191</v>
      </c>
      <c r="N99">
        <v>1013</v>
      </c>
      <c r="O99" t="s">
        <v>708</v>
      </c>
      <c r="P99" t="s">
        <v>708</v>
      </c>
      <c r="Q99">
        <v>1</v>
      </c>
      <c r="X99">
        <v>0.02</v>
      </c>
      <c r="Y99">
        <v>0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2</v>
      </c>
      <c r="AF99" t="s">
        <v>174</v>
      </c>
      <c r="AG99">
        <v>0.03</v>
      </c>
      <c r="AH99">
        <v>2</v>
      </c>
      <c r="AI99">
        <v>16810347</v>
      </c>
      <c r="AJ99">
        <v>94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ROW(Source!A89)</f>
        <v>89</v>
      </c>
      <c r="B100">
        <v>16810355</v>
      </c>
      <c r="C100">
        <v>16810345</v>
      </c>
      <c r="D100">
        <v>15247974</v>
      </c>
      <c r="E100">
        <v>1</v>
      </c>
      <c r="F100">
        <v>1</v>
      </c>
      <c r="G100">
        <v>1</v>
      </c>
      <c r="H100">
        <v>2</v>
      </c>
      <c r="I100" t="s">
        <v>711</v>
      </c>
      <c r="J100" t="s">
        <v>712</v>
      </c>
      <c r="K100" t="s">
        <v>713</v>
      </c>
      <c r="L100">
        <v>1368</v>
      </c>
      <c r="N100">
        <v>1011</v>
      </c>
      <c r="O100" t="s">
        <v>714</v>
      </c>
      <c r="P100" t="s">
        <v>714</v>
      </c>
      <c r="Q100">
        <v>1</v>
      </c>
      <c r="X100">
        <v>0.01</v>
      </c>
      <c r="Y100">
        <v>0</v>
      </c>
      <c r="Z100">
        <v>31.26</v>
      </c>
      <c r="AA100">
        <v>13.5</v>
      </c>
      <c r="AB100">
        <v>0</v>
      </c>
      <c r="AC100">
        <v>0</v>
      </c>
      <c r="AD100">
        <v>1</v>
      </c>
      <c r="AE100">
        <v>0</v>
      </c>
      <c r="AF100" t="s">
        <v>174</v>
      </c>
      <c r="AG100">
        <v>1.4999999999999999E-2</v>
      </c>
      <c r="AH100">
        <v>2</v>
      </c>
      <c r="AI100">
        <v>16810348</v>
      </c>
      <c r="AJ100">
        <v>95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ROW(Source!A89)</f>
        <v>89</v>
      </c>
      <c r="B101">
        <v>16810356</v>
      </c>
      <c r="C101">
        <v>16810345</v>
      </c>
      <c r="D101">
        <v>15249073</v>
      </c>
      <c r="E101">
        <v>1</v>
      </c>
      <c r="F101">
        <v>1</v>
      </c>
      <c r="G101">
        <v>1</v>
      </c>
      <c r="H101">
        <v>2</v>
      </c>
      <c r="I101" t="s">
        <v>724</v>
      </c>
      <c r="J101" t="s">
        <v>725</v>
      </c>
      <c r="K101" t="s">
        <v>726</v>
      </c>
      <c r="L101">
        <v>1368</v>
      </c>
      <c r="N101">
        <v>1011</v>
      </c>
      <c r="O101" t="s">
        <v>714</v>
      </c>
      <c r="P101" t="s">
        <v>714</v>
      </c>
      <c r="Q101">
        <v>1</v>
      </c>
      <c r="X101">
        <v>0.01</v>
      </c>
      <c r="Y101">
        <v>0</v>
      </c>
      <c r="Z101">
        <v>65.709999999999994</v>
      </c>
      <c r="AA101">
        <v>11.6</v>
      </c>
      <c r="AB101">
        <v>0</v>
      </c>
      <c r="AC101">
        <v>0</v>
      </c>
      <c r="AD101">
        <v>1</v>
      </c>
      <c r="AE101">
        <v>0</v>
      </c>
      <c r="AF101" t="s">
        <v>174</v>
      </c>
      <c r="AG101">
        <v>1.4999999999999999E-2</v>
      </c>
      <c r="AH101">
        <v>2</v>
      </c>
      <c r="AI101">
        <v>16810349</v>
      </c>
      <c r="AJ101">
        <v>96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ROW(Source!A89)</f>
        <v>89</v>
      </c>
      <c r="B102">
        <v>16810357</v>
      </c>
      <c r="C102">
        <v>16810345</v>
      </c>
      <c r="D102">
        <v>15171018</v>
      </c>
      <c r="E102">
        <v>1</v>
      </c>
      <c r="F102">
        <v>1</v>
      </c>
      <c r="G102">
        <v>1</v>
      </c>
      <c r="H102">
        <v>3</v>
      </c>
      <c r="I102" t="s">
        <v>833</v>
      </c>
      <c r="J102" t="s">
        <v>834</v>
      </c>
      <c r="K102" t="s">
        <v>835</v>
      </c>
      <c r="L102">
        <v>1346</v>
      </c>
      <c r="N102">
        <v>1009</v>
      </c>
      <c r="O102" t="s">
        <v>300</v>
      </c>
      <c r="P102" t="s">
        <v>300</v>
      </c>
      <c r="Q102">
        <v>1</v>
      </c>
      <c r="X102">
        <v>0.1</v>
      </c>
      <c r="Y102">
        <v>1.82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6</v>
      </c>
      <c r="AG102">
        <v>0.1</v>
      </c>
      <c r="AH102">
        <v>2</v>
      </c>
      <c r="AI102">
        <v>16810350</v>
      </c>
      <c r="AJ102">
        <v>97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ROW(Source!A89)</f>
        <v>89</v>
      </c>
      <c r="B103">
        <v>16810358</v>
      </c>
      <c r="C103">
        <v>16810345</v>
      </c>
      <c r="D103">
        <v>15162572</v>
      </c>
      <c r="E103">
        <v>17</v>
      </c>
      <c r="F103">
        <v>1</v>
      </c>
      <c r="G103">
        <v>1</v>
      </c>
      <c r="H103">
        <v>3</v>
      </c>
      <c r="I103" t="s">
        <v>226</v>
      </c>
      <c r="J103" t="s">
        <v>6</v>
      </c>
      <c r="K103" t="s">
        <v>227</v>
      </c>
      <c r="L103">
        <v>1348</v>
      </c>
      <c r="N103">
        <v>1009</v>
      </c>
      <c r="O103" t="s">
        <v>104</v>
      </c>
      <c r="P103" t="s">
        <v>104</v>
      </c>
      <c r="Q103">
        <v>1000</v>
      </c>
      <c r="X103">
        <v>1.2999999999999999E-2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 t="s">
        <v>6</v>
      </c>
      <c r="AG103">
        <v>1.2999999999999999E-2</v>
      </c>
      <c r="AH103">
        <v>2</v>
      </c>
      <c r="AI103">
        <v>16810352</v>
      </c>
      <c r="AJ103">
        <v>99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ROW(Source!A92)</f>
        <v>92</v>
      </c>
      <c r="B104">
        <v>16810690</v>
      </c>
      <c r="C104">
        <v>16810689</v>
      </c>
      <c r="D104">
        <v>15435099</v>
      </c>
      <c r="E104">
        <v>1</v>
      </c>
      <c r="F104">
        <v>1</v>
      </c>
      <c r="G104">
        <v>1</v>
      </c>
      <c r="H104">
        <v>1</v>
      </c>
      <c r="I104" t="s">
        <v>836</v>
      </c>
      <c r="J104" t="s">
        <v>6</v>
      </c>
      <c r="K104" t="s">
        <v>837</v>
      </c>
      <c r="L104">
        <v>1191</v>
      </c>
      <c r="N104">
        <v>1013</v>
      </c>
      <c r="O104" t="s">
        <v>708</v>
      </c>
      <c r="P104" t="s">
        <v>708</v>
      </c>
      <c r="Q104">
        <v>1</v>
      </c>
      <c r="X104">
        <v>33.78</v>
      </c>
      <c r="Y104">
        <v>0</v>
      </c>
      <c r="Z104">
        <v>0</v>
      </c>
      <c r="AA104">
        <v>0</v>
      </c>
      <c r="AB104">
        <v>8.64</v>
      </c>
      <c r="AC104">
        <v>0</v>
      </c>
      <c r="AD104">
        <v>1</v>
      </c>
      <c r="AE104">
        <v>1</v>
      </c>
      <c r="AF104" t="s">
        <v>6</v>
      </c>
      <c r="AG104">
        <v>33.78</v>
      </c>
      <c r="AH104">
        <v>2</v>
      </c>
      <c r="AI104">
        <v>16810690</v>
      </c>
      <c r="AJ104">
        <v>100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ROW(Source!A92)</f>
        <v>92</v>
      </c>
      <c r="B105">
        <v>16810691</v>
      </c>
      <c r="C105">
        <v>16810689</v>
      </c>
      <c r="D105">
        <v>15430395</v>
      </c>
      <c r="E105">
        <v>1</v>
      </c>
      <c r="F105">
        <v>1</v>
      </c>
      <c r="G105">
        <v>1</v>
      </c>
      <c r="H105">
        <v>1</v>
      </c>
      <c r="I105" t="s">
        <v>709</v>
      </c>
      <c r="J105" t="s">
        <v>6</v>
      </c>
      <c r="K105" t="s">
        <v>710</v>
      </c>
      <c r="L105">
        <v>1191</v>
      </c>
      <c r="N105">
        <v>1013</v>
      </c>
      <c r="O105" t="s">
        <v>708</v>
      </c>
      <c r="P105" t="s">
        <v>708</v>
      </c>
      <c r="Q105">
        <v>1</v>
      </c>
      <c r="X105">
        <v>0.16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2</v>
      </c>
      <c r="AF105" t="s">
        <v>6</v>
      </c>
      <c r="AG105">
        <v>0.16</v>
      </c>
      <c r="AH105">
        <v>2</v>
      </c>
      <c r="AI105">
        <v>16810691</v>
      </c>
      <c r="AJ105">
        <v>101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ROW(Source!A92)</f>
        <v>92</v>
      </c>
      <c r="B106">
        <v>16810692</v>
      </c>
      <c r="C106">
        <v>16810689</v>
      </c>
      <c r="D106">
        <v>15247974</v>
      </c>
      <c r="E106">
        <v>1</v>
      </c>
      <c r="F106">
        <v>1</v>
      </c>
      <c r="G106">
        <v>1</v>
      </c>
      <c r="H106">
        <v>2</v>
      </c>
      <c r="I106" t="s">
        <v>711</v>
      </c>
      <c r="J106" t="s">
        <v>712</v>
      </c>
      <c r="K106" t="s">
        <v>713</v>
      </c>
      <c r="L106">
        <v>1368</v>
      </c>
      <c r="N106">
        <v>1011</v>
      </c>
      <c r="O106" t="s">
        <v>714</v>
      </c>
      <c r="P106" t="s">
        <v>714</v>
      </c>
      <c r="Q106">
        <v>1</v>
      </c>
      <c r="X106">
        <v>0.1</v>
      </c>
      <c r="Y106">
        <v>0</v>
      </c>
      <c r="Z106">
        <v>31.26</v>
      </c>
      <c r="AA106">
        <v>13.5</v>
      </c>
      <c r="AB106">
        <v>0</v>
      </c>
      <c r="AC106">
        <v>0</v>
      </c>
      <c r="AD106">
        <v>1</v>
      </c>
      <c r="AE106">
        <v>0</v>
      </c>
      <c r="AF106" t="s">
        <v>6</v>
      </c>
      <c r="AG106">
        <v>0.1</v>
      </c>
      <c r="AH106">
        <v>2</v>
      </c>
      <c r="AI106">
        <v>16810692</v>
      </c>
      <c r="AJ106">
        <v>102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ROW(Source!A92)</f>
        <v>92</v>
      </c>
      <c r="B107">
        <v>16810693</v>
      </c>
      <c r="C107">
        <v>16810689</v>
      </c>
      <c r="D107">
        <v>15249073</v>
      </c>
      <c r="E107">
        <v>1</v>
      </c>
      <c r="F107">
        <v>1</v>
      </c>
      <c r="G107">
        <v>1</v>
      </c>
      <c r="H107">
        <v>2</v>
      </c>
      <c r="I107" t="s">
        <v>724</v>
      </c>
      <c r="J107" t="s">
        <v>725</v>
      </c>
      <c r="K107" t="s">
        <v>726</v>
      </c>
      <c r="L107">
        <v>1368</v>
      </c>
      <c r="N107">
        <v>1011</v>
      </c>
      <c r="O107" t="s">
        <v>714</v>
      </c>
      <c r="P107" t="s">
        <v>714</v>
      </c>
      <c r="Q107">
        <v>1</v>
      </c>
      <c r="X107">
        <v>0.06</v>
      </c>
      <c r="Y107">
        <v>0</v>
      </c>
      <c r="Z107">
        <v>65.709999999999994</v>
      </c>
      <c r="AA107">
        <v>11.6</v>
      </c>
      <c r="AB107">
        <v>0</v>
      </c>
      <c r="AC107">
        <v>0</v>
      </c>
      <c r="AD107">
        <v>1</v>
      </c>
      <c r="AE107">
        <v>0</v>
      </c>
      <c r="AF107" t="s">
        <v>6</v>
      </c>
      <c r="AG107">
        <v>0.06</v>
      </c>
      <c r="AH107">
        <v>2</v>
      </c>
      <c r="AI107">
        <v>16810693</v>
      </c>
      <c r="AJ107">
        <v>103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ROW(Source!A92)</f>
        <v>92</v>
      </c>
      <c r="B108">
        <v>16810694</v>
      </c>
      <c r="C108">
        <v>16810689</v>
      </c>
      <c r="D108">
        <v>15167286</v>
      </c>
      <c r="E108">
        <v>1</v>
      </c>
      <c r="F108">
        <v>1</v>
      </c>
      <c r="G108">
        <v>1</v>
      </c>
      <c r="H108">
        <v>3</v>
      </c>
      <c r="I108" t="s">
        <v>781</v>
      </c>
      <c r="J108" t="s">
        <v>782</v>
      </c>
      <c r="K108" t="s">
        <v>783</v>
      </c>
      <c r="L108">
        <v>1339</v>
      </c>
      <c r="N108">
        <v>1007</v>
      </c>
      <c r="O108" t="s">
        <v>254</v>
      </c>
      <c r="P108" t="s">
        <v>254</v>
      </c>
      <c r="Q108">
        <v>1</v>
      </c>
      <c r="X108">
        <v>0.24</v>
      </c>
      <c r="Y108">
        <v>2.44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6</v>
      </c>
      <c r="AG108">
        <v>0.24</v>
      </c>
      <c r="AH108">
        <v>2</v>
      </c>
      <c r="AI108">
        <v>16810694</v>
      </c>
      <c r="AJ108">
        <v>104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ROW(Source!A92)</f>
        <v>92</v>
      </c>
      <c r="B109">
        <v>16810695</v>
      </c>
      <c r="C109">
        <v>16810689</v>
      </c>
      <c r="D109">
        <v>15167766</v>
      </c>
      <c r="E109">
        <v>1</v>
      </c>
      <c r="F109">
        <v>1</v>
      </c>
      <c r="G109">
        <v>1</v>
      </c>
      <c r="H109">
        <v>3</v>
      </c>
      <c r="I109" t="s">
        <v>838</v>
      </c>
      <c r="J109" t="s">
        <v>839</v>
      </c>
      <c r="K109" t="s">
        <v>840</v>
      </c>
      <c r="L109">
        <v>1354</v>
      </c>
      <c r="N109">
        <v>1010</v>
      </c>
      <c r="O109" t="s">
        <v>350</v>
      </c>
      <c r="P109" t="s">
        <v>350</v>
      </c>
      <c r="Q109">
        <v>1</v>
      </c>
      <c r="X109">
        <v>5.0999999999999996</v>
      </c>
      <c r="Y109">
        <v>4.5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6</v>
      </c>
      <c r="AG109">
        <v>5.0999999999999996</v>
      </c>
      <c r="AH109">
        <v>2</v>
      </c>
      <c r="AI109">
        <v>16810695</v>
      </c>
      <c r="AJ109">
        <v>105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ROW(Source!A92)</f>
        <v>92</v>
      </c>
      <c r="B110">
        <v>16810696</v>
      </c>
      <c r="C110">
        <v>16810689</v>
      </c>
      <c r="D110">
        <v>15168015</v>
      </c>
      <c r="E110">
        <v>1</v>
      </c>
      <c r="F110">
        <v>1</v>
      </c>
      <c r="G110">
        <v>1</v>
      </c>
      <c r="H110">
        <v>3</v>
      </c>
      <c r="I110" t="s">
        <v>841</v>
      </c>
      <c r="J110" t="s">
        <v>842</v>
      </c>
      <c r="K110" t="s">
        <v>843</v>
      </c>
      <c r="L110">
        <v>1348</v>
      </c>
      <c r="N110">
        <v>1009</v>
      </c>
      <c r="O110" t="s">
        <v>104</v>
      </c>
      <c r="P110" t="s">
        <v>104</v>
      </c>
      <c r="Q110">
        <v>1000</v>
      </c>
      <c r="X110">
        <v>2.5499999999999998E-2</v>
      </c>
      <c r="Y110">
        <v>586.47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6</v>
      </c>
      <c r="AG110">
        <v>2.5499999999999998E-2</v>
      </c>
      <c r="AH110">
        <v>2</v>
      </c>
      <c r="AI110">
        <v>16810696</v>
      </c>
      <c r="AJ110">
        <v>106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ROW(Source!A92)</f>
        <v>92</v>
      </c>
      <c r="B111">
        <v>16810697</v>
      </c>
      <c r="C111">
        <v>16810689</v>
      </c>
      <c r="D111">
        <v>15170682</v>
      </c>
      <c r="E111">
        <v>1</v>
      </c>
      <c r="F111">
        <v>1</v>
      </c>
      <c r="G111">
        <v>1</v>
      </c>
      <c r="H111">
        <v>3</v>
      </c>
      <c r="I111" t="s">
        <v>844</v>
      </c>
      <c r="J111" t="s">
        <v>845</v>
      </c>
      <c r="K111" t="s">
        <v>846</v>
      </c>
      <c r="L111">
        <v>1327</v>
      </c>
      <c r="N111">
        <v>1005</v>
      </c>
      <c r="O111" t="s">
        <v>190</v>
      </c>
      <c r="P111" t="s">
        <v>190</v>
      </c>
      <c r="Q111">
        <v>1</v>
      </c>
      <c r="X111">
        <v>1.6</v>
      </c>
      <c r="Y111">
        <v>72.319999999999993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6</v>
      </c>
      <c r="AG111">
        <v>1.6</v>
      </c>
      <c r="AH111">
        <v>2</v>
      </c>
      <c r="AI111">
        <v>16810697</v>
      </c>
      <c r="AJ111">
        <v>107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ROW(Source!A92)</f>
        <v>92</v>
      </c>
      <c r="B112">
        <v>16810698</v>
      </c>
      <c r="C112">
        <v>16810689</v>
      </c>
      <c r="D112">
        <v>15171907</v>
      </c>
      <c r="E112">
        <v>1</v>
      </c>
      <c r="F112">
        <v>1</v>
      </c>
      <c r="G112">
        <v>1</v>
      </c>
      <c r="H112">
        <v>3</v>
      </c>
      <c r="I112" t="s">
        <v>847</v>
      </c>
      <c r="J112" t="s">
        <v>848</v>
      </c>
      <c r="K112" t="s">
        <v>849</v>
      </c>
      <c r="L112">
        <v>1339</v>
      </c>
      <c r="N112">
        <v>1007</v>
      </c>
      <c r="O112" t="s">
        <v>254</v>
      </c>
      <c r="P112" t="s">
        <v>254</v>
      </c>
      <c r="Q112">
        <v>1</v>
      </c>
      <c r="X112">
        <v>4.4000000000000003E-3</v>
      </c>
      <c r="Y112">
        <v>74.58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6</v>
      </c>
      <c r="AG112">
        <v>4.4000000000000003E-3</v>
      </c>
      <c r="AH112">
        <v>2</v>
      </c>
      <c r="AI112">
        <v>16810698</v>
      </c>
      <c r="AJ112">
        <v>108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ROW(Source!A92)</f>
        <v>92</v>
      </c>
      <c r="B113">
        <v>16810699</v>
      </c>
      <c r="C113">
        <v>16810689</v>
      </c>
      <c r="D113">
        <v>15202490</v>
      </c>
      <c r="E113">
        <v>1</v>
      </c>
      <c r="F113">
        <v>1</v>
      </c>
      <c r="G113">
        <v>1</v>
      </c>
      <c r="H113">
        <v>3</v>
      </c>
      <c r="I113" t="s">
        <v>850</v>
      </c>
      <c r="J113" t="s">
        <v>851</v>
      </c>
      <c r="K113" t="s">
        <v>852</v>
      </c>
      <c r="L113">
        <v>1346</v>
      </c>
      <c r="N113">
        <v>1009</v>
      </c>
      <c r="O113" t="s">
        <v>300</v>
      </c>
      <c r="P113" t="s">
        <v>300</v>
      </c>
      <c r="Q113">
        <v>1</v>
      </c>
      <c r="X113">
        <v>4.0199999999999996</v>
      </c>
      <c r="Y113">
        <v>8.09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6</v>
      </c>
      <c r="AG113">
        <v>4.0199999999999996</v>
      </c>
      <c r="AH113">
        <v>2</v>
      </c>
      <c r="AI113">
        <v>16810699</v>
      </c>
      <c r="AJ113">
        <v>109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ROW(Source!A92)</f>
        <v>92</v>
      </c>
      <c r="B114">
        <v>16810700</v>
      </c>
      <c r="C114">
        <v>16810689</v>
      </c>
      <c r="D114">
        <v>15163054</v>
      </c>
      <c r="E114">
        <v>17</v>
      </c>
      <c r="F114">
        <v>1</v>
      </c>
      <c r="G114">
        <v>1</v>
      </c>
      <c r="H114">
        <v>3</v>
      </c>
      <c r="I114" t="s">
        <v>237</v>
      </c>
      <c r="J114" t="s">
        <v>6</v>
      </c>
      <c r="K114" t="s">
        <v>238</v>
      </c>
      <c r="L114">
        <v>1348</v>
      </c>
      <c r="N114">
        <v>1009</v>
      </c>
      <c r="O114" t="s">
        <v>104</v>
      </c>
      <c r="P114" t="s">
        <v>104</v>
      </c>
      <c r="Q114">
        <v>1000</v>
      </c>
      <c r="X114">
        <v>7.0999999999999994E-2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 t="s">
        <v>6</v>
      </c>
      <c r="AG114">
        <v>7.0999999999999994E-2</v>
      </c>
      <c r="AH114">
        <v>2</v>
      </c>
      <c r="AI114">
        <v>16810700</v>
      </c>
      <c r="AJ114">
        <v>110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ROW(Source!A92)</f>
        <v>92</v>
      </c>
      <c r="B115">
        <v>16810701</v>
      </c>
      <c r="C115">
        <v>16810689</v>
      </c>
      <c r="D115">
        <v>15204729</v>
      </c>
      <c r="E115">
        <v>1</v>
      </c>
      <c r="F115">
        <v>1</v>
      </c>
      <c r="G115">
        <v>1</v>
      </c>
      <c r="H115">
        <v>3</v>
      </c>
      <c r="I115" t="s">
        <v>853</v>
      </c>
      <c r="J115" t="s">
        <v>854</v>
      </c>
      <c r="K115" t="s">
        <v>855</v>
      </c>
      <c r="L115">
        <v>1348</v>
      </c>
      <c r="N115">
        <v>1009</v>
      </c>
      <c r="O115" t="s">
        <v>104</v>
      </c>
      <c r="P115" t="s">
        <v>104</v>
      </c>
      <c r="Q115">
        <v>1000</v>
      </c>
      <c r="X115">
        <v>7.5999999999999998E-2</v>
      </c>
      <c r="Y115">
        <v>4294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6</v>
      </c>
      <c r="AG115">
        <v>7.5999999999999998E-2</v>
      </c>
      <c r="AH115">
        <v>2</v>
      </c>
      <c r="AI115">
        <v>16810701</v>
      </c>
      <c r="AJ115">
        <v>112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ROW(Source!A95)</f>
        <v>95</v>
      </c>
      <c r="B116">
        <v>16810403</v>
      </c>
      <c r="C116">
        <v>16810389</v>
      </c>
      <c r="D116">
        <v>15435099</v>
      </c>
      <c r="E116">
        <v>1</v>
      </c>
      <c r="F116">
        <v>1</v>
      </c>
      <c r="G116">
        <v>1</v>
      </c>
      <c r="H116">
        <v>1</v>
      </c>
      <c r="I116" t="s">
        <v>836</v>
      </c>
      <c r="J116" t="s">
        <v>6</v>
      </c>
      <c r="K116" t="s">
        <v>837</v>
      </c>
      <c r="L116">
        <v>1191</v>
      </c>
      <c r="N116">
        <v>1013</v>
      </c>
      <c r="O116" t="s">
        <v>708</v>
      </c>
      <c r="P116" t="s">
        <v>708</v>
      </c>
      <c r="Q116">
        <v>1</v>
      </c>
      <c r="X116">
        <v>33.89</v>
      </c>
      <c r="Y116">
        <v>0</v>
      </c>
      <c r="Z116">
        <v>0</v>
      </c>
      <c r="AA116">
        <v>0</v>
      </c>
      <c r="AB116">
        <v>8.64</v>
      </c>
      <c r="AC116">
        <v>0</v>
      </c>
      <c r="AD116">
        <v>1</v>
      </c>
      <c r="AE116">
        <v>1</v>
      </c>
      <c r="AF116" t="s">
        <v>6</v>
      </c>
      <c r="AG116">
        <v>33.89</v>
      </c>
      <c r="AH116">
        <v>2</v>
      </c>
      <c r="AI116">
        <v>16810390</v>
      </c>
      <c r="AJ116">
        <v>113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ROW(Source!A95)</f>
        <v>95</v>
      </c>
      <c r="B117">
        <v>16810404</v>
      </c>
      <c r="C117">
        <v>16810389</v>
      </c>
      <c r="D117">
        <v>15430395</v>
      </c>
      <c r="E117">
        <v>1</v>
      </c>
      <c r="F117">
        <v>1</v>
      </c>
      <c r="G117">
        <v>1</v>
      </c>
      <c r="H117">
        <v>1</v>
      </c>
      <c r="I117" t="s">
        <v>709</v>
      </c>
      <c r="J117" t="s">
        <v>6</v>
      </c>
      <c r="K117" t="s">
        <v>710</v>
      </c>
      <c r="L117">
        <v>1191</v>
      </c>
      <c r="N117">
        <v>1013</v>
      </c>
      <c r="O117" t="s">
        <v>708</v>
      </c>
      <c r="P117" t="s">
        <v>708</v>
      </c>
      <c r="Q117">
        <v>1</v>
      </c>
      <c r="X117">
        <v>0.16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2</v>
      </c>
      <c r="AF117" t="s">
        <v>6</v>
      </c>
      <c r="AG117">
        <v>0.16</v>
      </c>
      <c r="AH117">
        <v>2</v>
      </c>
      <c r="AI117">
        <v>16810391</v>
      </c>
      <c r="AJ117">
        <v>114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ROW(Source!A95)</f>
        <v>95</v>
      </c>
      <c r="B118">
        <v>16810405</v>
      </c>
      <c r="C118">
        <v>16810389</v>
      </c>
      <c r="D118">
        <v>15247974</v>
      </c>
      <c r="E118">
        <v>1</v>
      </c>
      <c r="F118">
        <v>1</v>
      </c>
      <c r="G118">
        <v>1</v>
      </c>
      <c r="H118">
        <v>2</v>
      </c>
      <c r="I118" t="s">
        <v>711</v>
      </c>
      <c r="J118" t="s">
        <v>712</v>
      </c>
      <c r="K118" t="s">
        <v>713</v>
      </c>
      <c r="L118">
        <v>1368</v>
      </c>
      <c r="N118">
        <v>1011</v>
      </c>
      <c r="O118" t="s">
        <v>714</v>
      </c>
      <c r="P118" t="s">
        <v>714</v>
      </c>
      <c r="Q118">
        <v>1</v>
      </c>
      <c r="X118">
        <v>0.1</v>
      </c>
      <c r="Y118">
        <v>0</v>
      </c>
      <c r="Z118">
        <v>31.26</v>
      </c>
      <c r="AA118">
        <v>13.5</v>
      </c>
      <c r="AB118">
        <v>0</v>
      </c>
      <c r="AC118">
        <v>0</v>
      </c>
      <c r="AD118">
        <v>1</v>
      </c>
      <c r="AE118">
        <v>0</v>
      </c>
      <c r="AF118" t="s">
        <v>6</v>
      </c>
      <c r="AG118">
        <v>0.1</v>
      </c>
      <c r="AH118">
        <v>2</v>
      </c>
      <c r="AI118">
        <v>16810392</v>
      </c>
      <c r="AJ118">
        <v>115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ROW(Source!A95)</f>
        <v>95</v>
      </c>
      <c r="B119">
        <v>16810406</v>
      </c>
      <c r="C119">
        <v>16810389</v>
      </c>
      <c r="D119">
        <v>15249073</v>
      </c>
      <c r="E119">
        <v>1</v>
      </c>
      <c r="F119">
        <v>1</v>
      </c>
      <c r="G119">
        <v>1</v>
      </c>
      <c r="H119">
        <v>2</v>
      </c>
      <c r="I119" t="s">
        <v>724</v>
      </c>
      <c r="J119" t="s">
        <v>725</v>
      </c>
      <c r="K119" t="s">
        <v>726</v>
      </c>
      <c r="L119">
        <v>1368</v>
      </c>
      <c r="N119">
        <v>1011</v>
      </c>
      <c r="O119" t="s">
        <v>714</v>
      </c>
      <c r="P119" t="s">
        <v>714</v>
      </c>
      <c r="Q119">
        <v>1</v>
      </c>
      <c r="X119">
        <v>0.06</v>
      </c>
      <c r="Y119">
        <v>0</v>
      </c>
      <c r="Z119">
        <v>65.709999999999994</v>
      </c>
      <c r="AA119">
        <v>11.6</v>
      </c>
      <c r="AB119">
        <v>0</v>
      </c>
      <c r="AC119">
        <v>0</v>
      </c>
      <c r="AD119">
        <v>1</v>
      </c>
      <c r="AE119">
        <v>0</v>
      </c>
      <c r="AF119" t="s">
        <v>6</v>
      </c>
      <c r="AG119">
        <v>0.06</v>
      </c>
      <c r="AH119">
        <v>2</v>
      </c>
      <c r="AI119">
        <v>16810393</v>
      </c>
      <c r="AJ119">
        <v>116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ROW(Source!A95)</f>
        <v>95</v>
      </c>
      <c r="B120">
        <v>16810407</v>
      </c>
      <c r="C120">
        <v>16810389</v>
      </c>
      <c r="D120">
        <v>15167286</v>
      </c>
      <c r="E120">
        <v>1</v>
      </c>
      <c r="F120">
        <v>1</v>
      </c>
      <c r="G120">
        <v>1</v>
      </c>
      <c r="H120">
        <v>3</v>
      </c>
      <c r="I120" t="s">
        <v>781</v>
      </c>
      <c r="J120" t="s">
        <v>782</v>
      </c>
      <c r="K120" t="s">
        <v>783</v>
      </c>
      <c r="L120">
        <v>1339</v>
      </c>
      <c r="N120">
        <v>1007</v>
      </c>
      <c r="O120" t="s">
        <v>254</v>
      </c>
      <c r="P120" t="s">
        <v>254</v>
      </c>
      <c r="Q120">
        <v>1</v>
      </c>
      <c r="X120">
        <v>0.24</v>
      </c>
      <c r="Y120">
        <v>2.44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6</v>
      </c>
      <c r="AG120">
        <v>0.24</v>
      </c>
      <c r="AH120">
        <v>2</v>
      </c>
      <c r="AI120">
        <v>16810394</v>
      </c>
      <c r="AJ120">
        <v>117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ROW(Source!A95)</f>
        <v>95</v>
      </c>
      <c r="B121">
        <v>16810408</v>
      </c>
      <c r="C121">
        <v>16810389</v>
      </c>
      <c r="D121">
        <v>15167766</v>
      </c>
      <c r="E121">
        <v>1</v>
      </c>
      <c r="F121">
        <v>1</v>
      </c>
      <c r="G121">
        <v>1</v>
      </c>
      <c r="H121">
        <v>3</v>
      </c>
      <c r="I121" t="s">
        <v>838</v>
      </c>
      <c r="J121" t="s">
        <v>839</v>
      </c>
      <c r="K121" t="s">
        <v>840</v>
      </c>
      <c r="L121">
        <v>1354</v>
      </c>
      <c r="N121">
        <v>1010</v>
      </c>
      <c r="O121" t="s">
        <v>350</v>
      </c>
      <c r="P121" t="s">
        <v>350</v>
      </c>
      <c r="Q121">
        <v>1</v>
      </c>
      <c r="X121">
        <v>5.0999999999999996</v>
      </c>
      <c r="Y121">
        <v>4.5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6</v>
      </c>
      <c r="AG121">
        <v>5.0999999999999996</v>
      </c>
      <c r="AH121">
        <v>2</v>
      </c>
      <c r="AI121">
        <v>16810395</v>
      </c>
      <c r="AJ121">
        <v>118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ROW(Source!A95)</f>
        <v>95</v>
      </c>
      <c r="B122">
        <v>16810409</v>
      </c>
      <c r="C122">
        <v>16810389</v>
      </c>
      <c r="D122">
        <v>15168015</v>
      </c>
      <c r="E122">
        <v>1</v>
      </c>
      <c r="F122">
        <v>1</v>
      </c>
      <c r="G122">
        <v>1</v>
      </c>
      <c r="H122">
        <v>3</v>
      </c>
      <c r="I122" t="s">
        <v>841</v>
      </c>
      <c r="J122" t="s">
        <v>842</v>
      </c>
      <c r="K122" t="s">
        <v>843</v>
      </c>
      <c r="L122">
        <v>1348</v>
      </c>
      <c r="N122">
        <v>1009</v>
      </c>
      <c r="O122" t="s">
        <v>104</v>
      </c>
      <c r="P122" t="s">
        <v>104</v>
      </c>
      <c r="Q122">
        <v>1000</v>
      </c>
      <c r="X122">
        <v>2.5499999999999998E-2</v>
      </c>
      <c r="Y122">
        <v>586.47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6</v>
      </c>
      <c r="AG122">
        <v>2.5499999999999998E-2</v>
      </c>
      <c r="AH122">
        <v>2</v>
      </c>
      <c r="AI122">
        <v>16810396</v>
      </c>
      <c r="AJ122">
        <v>119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ROW(Source!A95)</f>
        <v>95</v>
      </c>
      <c r="B123">
        <v>16810410</v>
      </c>
      <c r="C123">
        <v>16810389</v>
      </c>
      <c r="D123">
        <v>15170682</v>
      </c>
      <c r="E123">
        <v>1</v>
      </c>
      <c r="F123">
        <v>1</v>
      </c>
      <c r="G123">
        <v>1</v>
      </c>
      <c r="H123">
        <v>3</v>
      </c>
      <c r="I123" t="s">
        <v>844</v>
      </c>
      <c r="J123" t="s">
        <v>845</v>
      </c>
      <c r="K123" t="s">
        <v>846</v>
      </c>
      <c r="L123">
        <v>1327</v>
      </c>
      <c r="N123">
        <v>1005</v>
      </c>
      <c r="O123" t="s">
        <v>190</v>
      </c>
      <c r="P123" t="s">
        <v>190</v>
      </c>
      <c r="Q123">
        <v>1</v>
      </c>
      <c r="X123">
        <v>1.6</v>
      </c>
      <c r="Y123">
        <v>72.319999999999993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6</v>
      </c>
      <c r="AG123">
        <v>1.6</v>
      </c>
      <c r="AH123">
        <v>2</v>
      </c>
      <c r="AI123">
        <v>16810397</v>
      </c>
      <c r="AJ123">
        <v>120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ROW(Source!A95)</f>
        <v>95</v>
      </c>
      <c r="B124">
        <v>16810411</v>
      </c>
      <c r="C124">
        <v>16810389</v>
      </c>
      <c r="D124">
        <v>15171907</v>
      </c>
      <c r="E124">
        <v>1</v>
      </c>
      <c r="F124">
        <v>1</v>
      </c>
      <c r="G124">
        <v>1</v>
      </c>
      <c r="H124">
        <v>3</v>
      </c>
      <c r="I124" t="s">
        <v>847</v>
      </c>
      <c r="J124" t="s">
        <v>848</v>
      </c>
      <c r="K124" t="s">
        <v>849</v>
      </c>
      <c r="L124">
        <v>1339</v>
      </c>
      <c r="N124">
        <v>1007</v>
      </c>
      <c r="O124" t="s">
        <v>254</v>
      </c>
      <c r="P124" t="s">
        <v>254</v>
      </c>
      <c r="Q124">
        <v>1</v>
      </c>
      <c r="X124">
        <v>4.4000000000000003E-3</v>
      </c>
      <c r="Y124">
        <v>74.58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6</v>
      </c>
      <c r="AG124">
        <v>4.4000000000000003E-3</v>
      </c>
      <c r="AH124">
        <v>2</v>
      </c>
      <c r="AI124">
        <v>16810398</v>
      </c>
      <c r="AJ124">
        <v>121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ROW(Source!A95)</f>
        <v>95</v>
      </c>
      <c r="B125">
        <v>16810412</v>
      </c>
      <c r="C125">
        <v>16810389</v>
      </c>
      <c r="D125">
        <v>15202490</v>
      </c>
      <c r="E125">
        <v>1</v>
      </c>
      <c r="F125">
        <v>1</v>
      </c>
      <c r="G125">
        <v>1</v>
      </c>
      <c r="H125">
        <v>3</v>
      </c>
      <c r="I125" t="s">
        <v>850</v>
      </c>
      <c r="J125" t="s">
        <v>851</v>
      </c>
      <c r="K125" t="s">
        <v>852</v>
      </c>
      <c r="L125">
        <v>1346</v>
      </c>
      <c r="N125">
        <v>1009</v>
      </c>
      <c r="O125" t="s">
        <v>300</v>
      </c>
      <c r="P125" t="s">
        <v>300</v>
      </c>
      <c r="Q125">
        <v>1</v>
      </c>
      <c r="X125">
        <v>4.0199999999999996</v>
      </c>
      <c r="Y125">
        <v>8.09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6</v>
      </c>
      <c r="AG125">
        <v>4.0199999999999996</v>
      </c>
      <c r="AH125">
        <v>2</v>
      </c>
      <c r="AI125">
        <v>16810399</v>
      </c>
      <c r="AJ125">
        <v>122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ROW(Source!A95)</f>
        <v>95</v>
      </c>
      <c r="B126">
        <v>16810413</v>
      </c>
      <c r="C126">
        <v>16810389</v>
      </c>
      <c r="D126">
        <v>15163054</v>
      </c>
      <c r="E126">
        <v>17</v>
      </c>
      <c r="F126">
        <v>1</v>
      </c>
      <c r="G126">
        <v>1</v>
      </c>
      <c r="H126">
        <v>3</v>
      </c>
      <c r="I126" t="s">
        <v>237</v>
      </c>
      <c r="J126" t="s">
        <v>6</v>
      </c>
      <c r="K126" t="s">
        <v>238</v>
      </c>
      <c r="L126">
        <v>1348</v>
      </c>
      <c r="N126">
        <v>1009</v>
      </c>
      <c r="O126" t="s">
        <v>104</v>
      </c>
      <c r="P126" t="s">
        <v>104</v>
      </c>
      <c r="Q126">
        <v>1000</v>
      </c>
      <c r="X126">
        <v>7.0999999999999994E-2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 t="s">
        <v>6</v>
      </c>
      <c r="AG126">
        <v>7.0999999999999994E-2</v>
      </c>
      <c r="AH126">
        <v>2</v>
      </c>
      <c r="AI126">
        <v>16810400</v>
      </c>
      <c r="AJ126">
        <v>123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ROW(Source!A95)</f>
        <v>95</v>
      </c>
      <c r="B127">
        <v>16810414</v>
      </c>
      <c r="C127">
        <v>16810389</v>
      </c>
      <c r="D127">
        <v>15204729</v>
      </c>
      <c r="E127">
        <v>1</v>
      </c>
      <c r="F127">
        <v>1</v>
      </c>
      <c r="G127">
        <v>1</v>
      </c>
      <c r="H127">
        <v>3</v>
      </c>
      <c r="I127" t="s">
        <v>853</v>
      </c>
      <c r="J127" t="s">
        <v>854</v>
      </c>
      <c r="K127" t="s">
        <v>855</v>
      </c>
      <c r="L127">
        <v>1348</v>
      </c>
      <c r="N127">
        <v>1009</v>
      </c>
      <c r="O127" t="s">
        <v>104</v>
      </c>
      <c r="P127" t="s">
        <v>104</v>
      </c>
      <c r="Q127">
        <v>1000</v>
      </c>
      <c r="X127">
        <v>7.1999999999999995E-2</v>
      </c>
      <c r="Y127">
        <v>4294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6</v>
      </c>
      <c r="AG127">
        <v>7.1999999999999995E-2</v>
      </c>
      <c r="AH127">
        <v>2</v>
      </c>
      <c r="AI127">
        <v>16810402</v>
      </c>
      <c r="AJ127">
        <v>125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ROW(Source!A98)</f>
        <v>98</v>
      </c>
      <c r="B128">
        <v>16810425</v>
      </c>
      <c r="C128">
        <v>16810417</v>
      </c>
      <c r="D128">
        <v>15433640</v>
      </c>
      <c r="E128">
        <v>1</v>
      </c>
      <c r="F128">
        <v>1</v>
      </c>
      <c r="G128">
        <v>1</v>
      </c>
      <c r="H128">
        <v>1</v>
      </c>
      <c r="I128" t="s">
        <v>776</v>
      </c>
      <c r="J128" t="s">
        <v>6</v>
      </c>
      <c r="K128" t="s">
        <v>777</v>
      </c>
      <c r="L128">
        <v>1191</v>
      </c>
      <c r="N128">
        <v>1013</v>
      </c>
      <c r="O128" t="s">
        <v>708</v>
      </c>
      <c r="P128" t="s">
        <v>708</v>
      </c>
      <c r="Q128">
        <v>1</v>
      </c>
      <c r="X128">
        <v>39.51</v>
      </c>
      <c r="Y128">
        <v>0</v>
      </c>
      <c r="Z128">
        <v>0</v>
      </c>
      <c r="AA128">
        <v>0</v>
      </c>
      <c r="AB128">
        <v>7.94</v>
      </c>
      <c r="AC128">
        <v>0</v>
      </c>
      <c r="AD128">
        <v>1</v>
      </c>
      <c r="AE128">
        <v>1</v>
      </c>
      <c r="AF128" t="s">
        <v>175</v>
      </c>
      <c r="AG128">
        <v>54.523799999999994</v>
      </c>
      <c r="AH128">
        <v>2</v>
      </c>
      <c r="AI128">
        <v>16810418</v>
      </c>
      <c r="AJ128">
        <v>126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ROW(Source!A98)</f>
        <v>98</v>
      </c>
      <c r="B129">
        <v>16810426</v>
      </c>
      <c r="C129">
        <v>16810417</v>
      </c>
      <c r="D129">
        <v>15430395</v>
      </c>
      <c r="E129">
        <v>1</v>
      </c>
      <c r="F129">
        <v>1</v>
      </c>
      <c r="G129">
        <v>1</v>
      </c>
      <c r="H129">
        <v>1</v>
      </c>
      <c r="I129" t="s">
        <v>709</v>
      </c>
      <c r="J129" t="s">
        <v>6</v>
      </c>
      <c r="K129" t="s">
        <v>710</v>
      </c>
      <c r="L129">
        <v>1191</v>
      </c>
      <c r="N129">
        <v>1013</v>
      </c>
      <c r="O129" t="s">
        <v>708</v>
      </c>
      <c r="P129" t="s">
        <v>708</v>
      </c>
      <c r="Q129">
        <v>1</v>
      </c>
      <c r="X129">
        <v>1.27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2</v>
      </c>
      <c r="AF129" t="s">
        <v>174</v>
      </c>
      <c r="AG129">
        <v>1.9049999999999998</v>
      </c>
      <c r="AH129">
        <v>2</v>
      </c>
      <c r="AI129">
        <v>16810419</v>
      </c>
      <c r="AJ129">
        <v>127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ROW(Source!A98)</f>
        <v>98</v>
      </c>
      <c r="B130">
        <v>16810427</v>
      </c>
      <c r="C130">
        <v>16810417</v>
      </c>
      <c r="D130">
        <v>15247974</v>
      </c>
      <c r="E130">
        <v>1</v>
      </c>
      <c r="F130">
        <v>1</v>
      </c>
      <c r="G130">
        <v>1</v>
      </c>
      <c r="H130">
        <v>2</v>
      </c>
      <c r="I130" t="s">
        <v>711</v>
      </c>
      <c r="J130" t="s">
        <v>712</v>
      </c>
      <c r="K130" t="s">
        <v>713</v>
      </c>
      <c r="L130">
        <v>1368</v>
      </c>
      <c r="N130">
        <v>1011</v>
      </c>
      <c r="O130" t="s">
        <v>714</v>
      </c>
      <c r="P130" t="s">
        <v>714</v>
      </c>
      <c r="Q130">
        <v>1</v>
      </c>
      <c r="X130">
        <v>1.27</v>
      </c>
      <c r="Y130">
        <v>0</v>
      </c>
      <c r="Z130">
        <v>31.26</v>
      </c>
      <c r="AA130">
        <v>13.5</v>
      </c>
      <c r="AB130">
        <v>0</v>
      </c>
      <c r="AC130">
        <v>0</v>
      </c>
      <c r="AD130">
        <v>1</v>
      </c>
      <c r="AE130">
        <v>0</v>
      </c>
      <c r="AF130" t="s">
        <v>174</v>
      </c>
      <c r="AG130">
        <v>1.9049999999999998</v>
      </c>
      <c r="AH130">
        <v>2</v>
      </c>
      <c r="AI130">
        <v>16810420</v>
      </c>
      <c r="AJ130">
        <v>128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ROW(Source!A98)</f>
        <v>98</v>
      </c>
      <c r="B131">
        <v>16810428</v>
      </c>
      <c r="C131">
        <v>16810417</v>
      </c>
      <c r="D131">
        <v>15248091</v>
      </c>
      <c r="E131">
        <v>1</v>
      </c>
      <c r="F131">
        <v>1</v>
      </c>
      <c r="G131">
        <v>1</v>
      </c>
      <c r="H131">
        <v>2</v>
      </c>
      <c r="I131" t="s">
        <v>778</v>
      </c>
      <c r="J131" t="s">
        <v>779</v>
      </c>
      <c r="K131" t="s">
        <v>780</v>
      </c>
      <c r="L131">
        <v>1368</v>
      </c>
      <c r="N131">
        <v>1011</v>
      </c>
      <c r="O131" t="s">
        <v>714</v>
      </c>
      <c r="P131" t="s">
        <v>714</v>
      </c>
      <c r="Q131">
        <v>1</v>
      </c>
      <c r="X131">
        <v>9.07</v>
      </c>
      <c r="Y131">
        <v>0</v>
      </c>
      <c r="Z131">
        <v>0.5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174</v>
      </c>
      <c r="AG131">
        <v>13.605</v>
      </c>
      <c r="AH131">
        <v>2</v>
      </c>
      <c r="AI131">
        <v>16810421</v>
      </c>
      <c r="AJ131">
        <v>129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ROW(Source!A98)</f>
        <v>98</v>
      </c>
      <c r="B132">
        <v>16810429</v>
      </c>
      <c r="C132">
        <v>16810417</v>
      </c>
      <c r="D132">
        <v>15167286</v>
      </c>
      <c r="E132">
        <v>1</v>
      </c>
      <c r="F132">
        <v>1</v>
      </c>
      <c r="G132">
        <v>1</v>
      </c>
      <c r="H132">
        <v>3</v>
      </c>
      <c r="I132" t="s">
        <v>781</v>
      </c>
      <c r="J132" t="s">
        <v>782</v>
      </c>
      <c r="K132" t="s">
        <v>783</v>
      </c>
      <c r="L132">
        <v>1339</v>
      </c>
      <c r="N132">
        <v>1007</v>
      </c>
      <c r="O132" t="s">
        <v>254</v>
      </c>
      <c r="P132" t="s">
        <v>254</v>
      </c>
      <c r="Q132">
        <v>1</v>
      </c>
      <c r="X132">
        <v>3.5</v>
      </c>
      <c r="Y132">
        <v>2.44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6</v>
      </c>
      <c r="AG132">
        <v>3.5</v>
      </c>
      <c r="AH132">
        <v>2</v>
      </c>
      <c r="AI132">
        <v>16810422</v>
      </c>
      <c r="AJ132">
        <v>130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ROW(Source!A98)</f>
        <v>98</v>
      </c>
      <c r="B133">
        <v>16810430</v>
      </c>
      <c r="C133">
        <v>16810417</v>
      </c>
      <c r="D133">
        <v>15162639</v>
      </c>
      <c r="E133">
        <v>17</v>
      </c>
      <c r="F133">
        <v>1</v>
      </c>
      <c r="G133">
        <v>1</v>
      </c>
      <c r="H133">
        <v>3</v>
      </c>
      <c r="I133" t="s">
        <v>252</v>
      </c>
      <c r="J133" t="s">
        <v>6</v>
      </c>
      <c r="K133" t="s">
        <v>253</v>
      </c>
      <c r="L133">
        <v>1339</v>
      </c>
      <c r="N133">
        <v>1007</v>
      </c>
      <c r="O133" t="s">
        <v>254</v>
      </c>
      <c r="P133" t="s">
        <v>254</v>
      </c>
      <c r="Q133">
        <v>1</v>
      </c>
      <c r="X133">
        <v>2.04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 t="s">
        <v>6</v>
      </c>
      <c r="AG133">
        <v>2.04</v>
      </c>
      <c r="AH133">
        <v>2</v>
      </c>
      <c r="AI133">
        <v>16810423</v>
      </c>
      <c r="AJ133">
        <v>131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ROW(Source!A101)</f>
        <v>101</v>
      </c>
      <c r="B134">
        <v>16810441</v>
      </c>
      <c r="C134">
        <v>16810433</v>
      </c>
      <c r="D134">
        <v>15430767</v>
      </c>
      <c r="E134">
        <v>1</v>
      </c>
      <c r="F134">
        <v>1</v>
      </c>
      <c r="G134">
        <v>1</v>
      </c>
      <c r="H134">
        <v>1</v>
      </c>
      <c r="I134" t="s">
        <v>792</v>
      </c>
      <c r="J134" t="s">
        <v>6</v>
      </c>
      <c r="K134" t="s">
        <v>793</v>
      </c>
      <c r="L134">
        <v>1191</v>
      </c>
      <c r="N134">
        <v>1013</v>
      </c>
      <c r="O134" t="s">
        <v>708</v>
      </c>
      <c r="P134" t="s">
        <v>708</v>
      </c>
      <c r="Q134">
        <v>1</v>
      </c>
      <c r="X134">
        <v>30.73</v>
      </c>
      <c r="Y134">
        <v>0</v>
      </c>
      <c r="Z134">
        <v>0</v>
      </c>
      <c r="AA134">
        <v>0</v>
      </c>
      <c r="AB134">
        <v>8.5299999999999994</v>
      </c>
      <c r="AC134">
        <v>0</v>
      </c>
      <c r="AD134">
        <v>1</v>
      </c>
      <c r="AE134">
        <v>1</v>
      </c>
      <c r="AF134" t="s">
        <v>175</v>
      </c>
      <c r="AG134">
        <v>42.407400000000003</v>
      </c>
      <c r="AH134">
        <v>2</v>
      </c>
      <c r="AI134">
        <v>16810434</v>
      </c>
      <c r="AJ134">
        <v>133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ROW(Source!A101)</f>
        <v>101</v>
      </c>
      <c r="B135">
        <v>16810442</v>
      </c>
      <c r="C135">
        <v>16810433</v>
      </c>
      <c r="D135">
        <v>15430395</v>
      </c>
      <c r="E135">
        <v>1</v>
      </c>
      <c r="F135">
        <v>1</v>
      </c>
      <c r="G135">
        <v>1</v>
      </c>
      <c r="H135">
        <v>1</v>
      </c>
      <c r="I135" t="s">
        <v>709</v>
      </c>
      <c r="J135" t="s">
        <v>6</v>
      </c>
      <c r="K135" t="s">
        <v>710</v>
      </c>
      <c r="L135">
        <v>1191</v>
      </c>
      <c r="N135">
        <v>1013</v>
      </c>
      <c r="O135" t="s">
        <v>708</v>
      </c>
      <c r="P135" t="s">
        <v>708</v>
      </c>
      <c r="Q135">
        <v>1</v>
      </c>
      <c r="X135">
        <v>0.09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2</v>
      </c>
      <c r="AF135" t="s">
        <v>174</v>
      </c>
      <c r="AG135">
        <v>0.13499999999999998</v>
      </c>
      <c r="AH135">
        <v>2</v>
      </c>
      <c r="AI135">
        <v>16810435</v>
      </c>
      <c r="AJ135">
        <v>134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ROW(Source!A101)</f>
        <v>101</v>
      </c>
      <c r="B136">
        <v>16810443</v>
      </c>
      <c r="C136">
        <v>16810433</v>
      </c>
      <c r="D136">
        <v>15247970</v>
      </c>
      <c r="E136">
        <v>1</v>
      </c>
      <c r="F136">
        <v>1</v>
      </c>
      <c r="G136">
        <v>1</v>
      </c>
      <c r="H136">
        <v>2</v>
      </c>
      <c r="I136" t="s">
        <v>856</v>
      </c>
      <c r="J136" t="s">
        <v>857</v>
      </c>
      <c r="K136" t="s">
        <v>858</v>
      </c>
      <c r="L136">
        <v>1368</v>
      </c>
      <c r="N136">
        <v>1011</v>
      </c>
      <c r="O136" t="s">
        <v>714</v>
      </c>
      <c r="P136" t="s">
        <v>714</v>
      </c>
      <c r="Q136">
        <v>1</v>
      </c>
      <c r="X136">
        <v>7.0000000000000007E-2</v>
      </c>
      <c r="Y136">
        <v>0</v>
      </c>
      <c r="Z136">
        <v>27.66</v>
      </c>
      <c r="AA136">
        <v>11.6</v>
      </c>
      <c r="AB136">
        <v>0</v>
      </c>
      <c r="AC136">
        <v>0</v>
      </c>
      <c r="AD136">
        <v>1</v>
      </c>
      <c r="AE136">
        <v>0</v>
      </c>
      <c r="AF136" t="s">
        <v>174</v>
      </c>
      <c r="AG136">
        <v>0.10500000000000001</v>
      </c>
      <c r="AH136">
        <v>2</v>
      </c>
      <c r="AI136">
        <v>16810436</v>
      </c>
      <c r="AJ136">
        <v>135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ROW(Source!A101)</f>
        <v>101</v>
      </c>
      <c r="B137">
        <v>16810444</v>
      </c>
      <c r="C137">
        <v>16810433</v>
      </c>
      <c r="D137">
        <v>15249073</v>
      </c>
      <c r="E137">
        <v>1</v>
      </c>
      <c r="F137">
        <v>1</v>
      </c>
      <c r="G137">
        <v>1</v>
      </c>
      <c r="H137">
        <v>2</v>
      </c>
      <c r="I137" t="s">
        <v>724</v>
      </c>
      <c r="J137" t="s">
        <v>725</v>
      </c>
      <c r="K137" t="s">
        <v>726</v>
      </c>
      <c r="L137">
        <v>1368</v>
      </c>
      <c r="N137">
        <v>1011</v>
      </c>
      <c r="O137" t="s">
        <v>714</v>
      </c>
      <c r="P137" t="s">
        <v>714</v>
      </c>
      <c r="Q137">
        <v>1</v>
      </c>
      <c r="X137">
        <v>0.02</v>
      </c>
      <c r="Y137">
        <v>0</v>
      </c>
      <c r="Z137">
        <v>65.709999999999994</v>
      </c>
      <c r="AA137">
        <v>11.6</v>
      </c>
      <c r="AB137">
        <v>0</v>
      </c>
      <c r="AC137">
        <v>0</v>
      </c>
      <c r="AD137">
        <v>1</v>
      </c>
      <c r="AE137">
        <v>0</v>
      </c>
      <c r="AF137" t="s">
        <v>174</v>
      </c>
      <c r="AG137">
        <v>0.03</v>
      </c>
      <c r="AH137">
        <v>2</v>
      </c>
      <c r="AI137">
        <v>16810437</v>
      </c>
      <c r="AJ137">
        <v>136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ROW(Source!A101)</f>
        <v>101</v>
      </c>
      <c r="B138">
        <v>16810445</v>
      </c>
      <c r="C138">
        <v>16810433</v>
      </c>
      <c r="D138">
        <v>15167286</v>
      </c>
      <c r="E138">
        <v>1</v>
      </c>
      <c r="F138">
        <v>1</v>
      </c>
      <c r="G138">
        <v>1</v>
      </c>
      <c r="H138">
        <v>3</v>
      </c>
      <c r="I138" t="s">
        <v>781</v>
      </c>
      <c r="J138" t="s">
        <v>782</v>
      </c>
      <c r="K138" t="s">
        <v>783</v>
      </c>
      <c r="L138">
        <v>1339</v>
      </c>
      <c r="N138">
        <v>1007</v>
      </c>
      <c r="O138" t="s">
        <v>254</v>
      </c>
      <c r="P138" t="s">
        <v>254</v>
      </c>
      <c r="Q138">
        <v>1</v>
      </c>
      <c r="X138">
        <v>0.16</v>
      </c>
      <c r="Y138">
        <v>2.44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6</v>
      </c>
      <c r="AG138">
        <v>0.16</v>
      </c>
      <c r="AH138">
        <v>2</v>
      </c>
      <c r="AI138">
        <v>16810438</v>
      </c>
      <c r="AJ138">
        <v>137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ROW(Source!A101)</f>
        <v>101</v>
      </c>
      <c r="B139">
        <v>16810446</v>
      </c>
      <c r="C139">
        <v>16810433</v>
      </c>
      <c r="D139">
        <v>15172903</v>
      </c>
      <c r="E139">
        <v>1</v>
      </c>
      <c r="F139">
        <v>1</v>
      </c>
      <c r="G139">
        <v>1</v>
      </c>
      <c r="H139">
        <v>3</v>
      </c>
      <c r="I139" t="s">
        <v>859</v>
      </c>
      <c r="J139" t="s">
        <v>860</v>
      </c>
      <c r="K139" t="s">
        <v>861</v>
      </c>
      <c r="L139">
        <v>1348</v>
      </c>
      <c r="N139">
        <v>1009</v>
      </c>
      <c r="O139" t="s">
        <v>104</v>
      </c>
      <c r="P139" t="s">
        <v>104</v>
      </c>
      <c r="Q139">
        <v>1000</v>
      </c>
      <c r="X139">
        <v>0.45</v>
      </c>
      <c r="Y139">
        <v>11686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6</v>
      </c>
      <c r="AG139">
        <v>0.45</v>
      </c>
      <c r="AH139">
        <v>2</v>
      </c>
      <c r="AI139">
        <v>16810439</v>
      </c>
      <c r="AJ139">
        <v>138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ROW(Source!A101)</f>
        <v>101</v>
      </c>
      <c r="B140">
        <v>16810447</v>
      </c>
      <c r="C140">
        <v>16810433</v>
      </c>
      <c r="D140">
        <v>15203485</v>
      </c>
      <c r="E140">
        <v>1</v>
      </c>
      <c r="F140">
        <v>1</v>
      </c>
      <c r="G140">
        <v>1</v>
      </c>
      <c r="H140">
        <v>3</v>
      </c>
      <c r="I140" t="s">
        <v>862</v>
      </c>
      <c r="J140" t="s">
        <v>863</v>
      </c>
      <c r="K140" t="s">
        <v>864</v>
      </c>
      <c r="L140">
        <v>1346</v>
      </c>
      <c r="N140">
        <v>1009</v>
      </c>
      <c r="O140" t="s">
        <v>300</v>
      </c>
      <c r="P140" t="s">
        <v>300</v>
      </c>
      <c r="Q140">
        <v>1</v>
      </c>
      <c r="X140">
        <v>30</v>
      </c>
      <c r="Y140">
        <v>15.25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6</v>
      </c>
      <c r="AG140">
        <v>30</v>
      </c>
      <c r="AH140">
        <v>2</v>
      </c>
      <c r="AI140">
        <v>16810440</v>
      </c>
      <c r="AJ140">
        <v>139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ROW(Source!A102)</f>
        <v>102</v>
      </c>
      <c r="B141">
        <v>16810458</v>
      </c>
      <c r="C141">
        <v>16810448</v>
      </c>
      <c r="D141">
        <v>15432356</v>
      </c>
      <c r="E141">
        <v>1</v>
      </c>
      <c r="F141">
        <v>1</v>
      </c>
      <c r="G141">
        <v>1</v>
      </c>
      <c r="H141">
        <v>1</v>
      </c>
      <c r="I141" t="s">
        <v>794</v>
      </c>
      <c r="J141" t="s">
        <v>6</v>
      </c>
      <c r="K141" t="s">
        <v>795</v>
      </c>
      <c r="L141">
        <v>1191</v>
      </c>
      <c r="N141">
        <v>1013</v>
      </c>
      <c r="O141" t="s">
        <v>708</v>
      </c>
      <c r="P141" t="s">
        <v>708</v>
      </c>
      <c r="Q141">
        <v>1</v>
      </c>
      <c r="X141">
        <v>31.41</v>
      </c>
      <c r="Y141">
        <v>0</v>
      </c>
      <c r="Z141">
        <v>0</v>
      </c>
      <c r="AA141">
        <v>0</v>
      </c>
      <c r="AB141">
        <v>8.31</v>
      </c>
      <c r="AC141">
        <v>0</v>
      </c>
      <c r="AD141">
        <v>1</v>
      </c>
      <c r="AE141">
        <v>1</v>
      </c>
      <c r="AF141" t="s">
        <v>175</v>
      </c>
      <c r="AG141">
        <v>43.345799999999997</v>
      </c>
      <c r="AH141">
        <v>2</v>
      </c>
      <c r="AI141">
        <v>16810449</v>
      </c>
      <c r="AJ141">
        <v>140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ROW(Source!A102)</f>
        <v>102</v>
      </c>
      <c r="B142">
        <v>16810459</v>
      </c>
      <c r="C142">
        <v>16810448</v>
      </c>
      <c r="D142">
        <v>15430395</v>
      </c>
      <c r="E142">
        <v>1</v>
      </c>
      <c r="F142">
        <v>1</v>
      </c>
      <c r="G142">
        <v>1</v>
      </c>
      <c r="H142">
        <v>1</v>
      </c>
      <c r="I142" t="s">
        <v>709</v>
      </c>
      <c r="J142" t="s">
        <v>6</v>
      </c>
      <c r="K142" t="s">
        <v>710</v>
      </c>
      <c r="L142">
        <v>1191</v>
      </c>
      <c r="N142">
        <v>1013</v>
      </c>
      <c r="O142" t="s">
        <v>708</v>
      </c>
      <c r="P142" t="s">
        <v>708</v>
      </c>
      <c r="Q142">
        <v>1</v>
      </c>
      <c r="X142">
        <v>0.82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2</v>
      </c>
      <c r="AF142" t="s">
        <v>174</v>
      </c>
      <c r="AG142">
        <v>1.2299999999999998</v>
      </c>
      <c r="AH142">
        <v>2</v>
      </c>
      <c r="AI142">
        <v>16810450</v>
      </c>
      <c r="AJ142">
        <v>141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ROW(Source!A102)</f>
        <v>102</v>
      </c>
      <c r="B143">
        <v>16810460</v>
      </c>
      <c r="C143">
        <v>16810448</v>
      </c>
      <c r="D143">
        <v>15247974</v>
      </c>
      <c r="E143">
        <v>1</v>
      </c>
      <c r="F143">
        <v>1</v>
      </c>
      <c r="G143">
        <v>1</v>
      </c>
      <c r="H143">
        <v>2</v>
      </c>
      <c r="I143" t="s">
        <v>711</v>
      </c>
      <c r="J143" t="s">
        <v>712</v>
      </c>
      <c r="K143" t="s">
        <v>713</v>
      </c>
      <c r="L143">
        <v>1368</v>
      </c>
      <c r="N143">
        <v>1011</v>
      </c>
      <c r="O143" t="s">
        <v>714</v>
      </c>
      <c r="P143" t="s">
        <v>714</v>
      </c>
      <c r="Q143">
        <v>1</v>
      </c>
      <c r="X143">
        <v>0.34</v>
      </c>
      <c r="Y143">
        <v>0</v>
      </c>
      <c r="Z143">
        <v>31.26</v>
      </c>
      <c r="AA143">
        <v>13.5</v>
      </c>
      <c r="AB143">
        <v>0</v>
      </c>
      <c r="AC143">
        <v>0</v>
      </c>
      <c r="AD143">
        <v>1</v>
      </c>
      <c r="AE143">
        <v>0</v>
      </c>
      <c r="AF143" t="s">
        <v>174</v>
      </c>
      <c r="AG143">
        <v>0.51</v>
      </c>
      <c r="AH143">
        <v>2</v>
      </c>
      <c r="AI143">
        <v>16810451</v>
      </c>
      <c r="AJ143">
        <v>142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ROW(Source!A102)</f>
        <v>102</v>
      </c>
      <c r="B144">
        <v>16810461</v>
      </c>
      <c r="C144">
        <v>16810448</v>
      </c>
      <c r="D144">
        <v>15249073</v>
      </c>
      <c r="E144">
        <v>1</v>
      </c>
      <c r="F144">
        <v>1</v>
      </c>
      <c r="G144">
        <v>1</v>
      </c>
      <c r="H144">
        <v>2</v>
      </c>
      <c r="I144" t="s">
        <v>724</v>
      </c>
      <c r="J144" t="s">
        <v>725</v>
      </c>
      <c r="K144" t="s">
        <v>726</v>
      </c>
      <c r="L144">
        <v>1368</v>
      </c>
      <c r="N144">
        <v>1011</v>
      </c>
      <c r="O144" t="s">
        <v>714</v>
      </c>
      <c r="P144" t="s">
        <v>714</v>
      </c>
      <c r="Q144">
        <v>1</v>
      </c>
      <c r="X144">
        <v>0.48</v>
      </c>
      <c r="Y144">
        <v>0</v>
      </c>
      <c r="Z144">
        <v>65.709999999999994</v>
      </c>
      <c r="AA144">
        <v>11.6</v>
      </c>
      <c r="AB144">
        <v>0</v>
      </c>
      <c r="AC144">
        <v>0</v>
      </c>
      <c r="AD144">
        <v>1</v>
      </c>
      <c r="AE144">
        <v>0</v>
      </c>
      <c r="AF144" t="s">
        <v>174</v>
      </c>
      <c r="AG144">
        <v>0.72</v>
      </c>
      <c r="AH144">
        <v>2</v>
      </c>
      <c r="AI144">
        <v>16810452</v>
      </c>
      <c r="AJ144">
        <v>143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ROW(Source!A102)</f>
        <v>102</v>
      </c>
      <c r="B145">
        <v>16810462</v>
      </c>
      <c r="C145">
        <v>16810448</v>
      </c>
      <c r="D145">
        <v>15250178</v>
      </c>
      <c r="E145">
        <v>1</v>
      </c>
      <c r="F145">
        <v>1</v>
      </c>
      <c r="G145">
        <v>1</v>
      </c>
      <c r="H145">
        <v>2</v>
      </c>
      <c r="I145" t="s">
        <v>865</v>
      </c>
      <c r="J145" t="s">
        <v>866</v>
      </c>
      <c r="K145" t="s">
        <v>867</v>
      </c>
      <c r="L145">
        <v>1368</v>
      </c>
      <c r="N145">
        <v>1011</v>
      </c>
      <c r="O145" t="s">
        <v>714</v>
      </c>
      <c r="P145" t="s">
        <v>714</v>
      </c>
      <c r="Q145">
        <v>1</v>
      </c>
      <c r="X145">
        <v>5.3</v>
      </c>
      <c r="Y145">
        <v>0</v>
      </c>
      <c r="Z145">
        <v>3.4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174</v>
      </c>
      <c r="AG145">
        <v>7.9499999999999993</v>
      </c>
      <c r="AH145">
        <v>2</v>
      </c>
      <c r="AI145">
        <v>16810453</v>
      </c>
      <c r="AJ145">
        <v>144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ROW(Source!A102)</f>
        <v>102</v>
      </c>
      <c r="B146">
        <v>16810463</v>
      </c>
      <c r="C146">
        <v>16810448</v>
      </c>
      <c r="D146">
        <v>15162736</v>
      </c>
      <c r="E146">
        <v>17</v>
      </c>
      <c r="F146">
        <v>1</v>
      </c>
      <c r="G146">
        <v>1</v>
      </c>
      <c r="H146">
        <v>3</v>
      </c>
      <c r="I146" t="s">
        <v>268</v>
      </c>
      <c r="J146" t="s">
        <v>6</v>
      </c>
      <c r="K146" t="s">
        <v>269</v>
      </c>
      <c r="L146">
        <v>1327</v>
      </c>
      <c r="N146">
        <v>1005</v>
      </c>
      <c r="O146" t="s">
        <v>190</v>
      </c>
      <c r="P146" t="s">
        <v>190</v>
      </c>
      <c r="Q146">
        <v>1</v>
      </c>
      <c r="X146">
        <v>102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 t="s">
        <v>6</v>
      </c>
      <c r="AG146">
        <v>102</v>
      </c>
      <c r="AH146">
        <v>2</v>
      </c>
      <c r="AI146">
        <v>16810454</v>
      </c>
      <c r="AJ146">
        <v>145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ROW(Source!A102)</f>
        <v>102</v>
      </c>
      <c r="B147">
        <v>16810464</v>
      </c>
      <c r="C147">
        <v>16810448</v>
      </c>
      <c r="D147">
        <v>15162739</v>
      </c>
      <c r="E147">
        <v>17</v>
      </c>
      <c r="F147">
        <v>1</v>
      </c>
      <c r="G147">
        <v>1</v>
      </c>
      <c r="H147">
        <v>3</v>
      </c>
      <c r="I147" t="s">
        <v>279</v>
      </c>
      <c r="J147" t="s">
        <v>6</v>
      </c>
      <c r="K147" t="s">
        <v>280</v>
      </c>
      <c r="L147">
        <v>1308</v>
      </c>
      <c r="N147">
        <v>1003</v>
      </c>
      <c r="O147" t="s">
        <v>40</v>
      </c>
      <c r="P147" t="s">
        <v>40</v>
      </c>
      <c r="Q147">
        <v>100</v>
      </c>
      <c r="X147">
        <v>0.68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 t="s">
        <v>6</v>
      </c>
      <c r="AG147">
        <v>0.68</v>
      </c>
      <c r="AH147">
        <v>2</v>
      </c>
      <c r="AI147">
        <v>16810456</v>
      </c>
      <c r="AJ147">
        <v>147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ROW(Source!A107)</f>
        <v>107</v>
      </c>
      <c r="B148">
        <v>16810481</v>
      </c>
      <c r="C148">
        <v>16810469</v>
      </c>
      <c r="D148">
        <v>15436014</v>
      </c>
      <c r="E148">
        <v>1</v>
      </c>
      <c r="F148">
        <v>1</v>
      </c>
      <c r="G148">
        <v>1</v>
      </c>
      <c r="H148">
        <v>1</v>
      </c>
      <c r="I148" t="s">
        <v>868</v>
      </c>
      <c r="J148" t="s">
        <v>6</v>
      </c>
      <c r="K148" t="s">
        <v>869</v>
      </c>
      <c r="L148">
        <v>1191</v>
      </c>
      <c r="N148">
        <v>1013</v>
      </c>
      <c r="O148" t="s">
        <v>708</v>
      </c>
      <c r="P148" t="s">
        <v>708</v>
      </c>
      <c r="Q148">
        <v>1</v>
      </c>
      <c r="X148">
        <v>119.78</v>
      </c>
      <c r="Y148">
        <v>0</v>
      </c>
      <c r="Z148">
        <v>0</v>
      </c>
      <c r="AA148">
        <v>0</v>
      </c>
      <c r="AB148">
        <v>8.74</v>
      </c>
      <c r="AC148">
        <v>0</v>
      </c>
      <c r="AD148">
        <v>1</v>
      </c>
      <c r="AE148">
        <v>1</v>
      </c>
      <c r="AF148" t="s">
        <v>175</v>
      </c>
      <c r="AG148">
        <v>165.29639999999998</v>
      </c>
      <c r="AH148">
        <v>2</v>
      </c>
      <c r="AI148">
        <v>16810470</v>
      </c>
      <c r="AJ148">
        <v>149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ROW(Source!A107)</f>
        <v>107</v>
      </c>
      <c r="B149">
        <v>16810482</v>
      </c>
      <c r="C149">
        <v>16810469</v>
      </c>
      <c r="D149">
        <v>15430395</v>
      </c>
      <c r="E149">
        <v>1</v>
      </c>
      <c r="F149">
        <v>1</v>
      </c>
      <c r="G149">
        <v>1</v>
      </c>
      <c r="H149">
        <v>1</v>
      </c>
      <c r="I149" t="s">
        <v>709</v>
      </c>
      <c r="J149" t="s">
        <v>6</v>
      </c>
      <c r="K149" t="s">
        <v>710</v>
      </c>
      <c r="L149">
        <v>1191</v>
      </c>
      <c r="N149">
        <v>1013</v>
      </c>
      <c r="O149" t="s">
        <v>708</v>
      </c>
      <c r="P149" t="s">
        <v>708</v>
      </c>
      <c r="Q149">
        <v>1</v>
      </c>
      <c r="X149">
        <v>4.5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2</v>
      </c>
      <c r="AF149" t="s">
        <v>174</v>
      </c>
      <c r="AG149">
        <v>6.75</v>
      </c>
      <c r="AH149">
        <v>2</v>
      </c>
      <c r="AI149">
        <v>16810471</v>
      </c>
      <c r="AJ149">
        <v>150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ROW(Source!A107)</f>
        <v>107</v>
      </c>
      <c r="B150">
        <v>16810483</v>
      </c>
      <c r="C150">
        <v>16810469</v>
      </c>
      <c r="D150">
        <v>15247905</v>
      </c>
      <c r="E150">
        <v>1</v>
      </c>
      <c r="F150">
        <v>1</v>
      </c>
      <c r="G150">
        <v>1</v>
      </c>
      <c r="H150">
        <v>2</v>
      </c>
      <c r="I150" t="s">
        <v>870</v>
      </c>
      <c r="J150" t="s">
        <v>871</v>
      </c>
      <c r="K150" t="s">
        <v>872</v>
      </c>
      <c r="L150">
        <v>1368</v>
      </c>
      <c r="N150">
        <v>1011</v>
      </c>
      <c r="O150" t="s">
        <v>714</v>
      </c>
      <c r="P150" t="s">
        <v>714</v>
      </c>
      <c r="Q150">
        <v>1</v>
      </c>
      <c r="X150">
        <v>0.36</v>
      </c>
      <c r="Y150">
        <v>0</v>
      </c>
      <c r="Z150">
        <v>89.99</v>
      </c>
      <c r="AA150">
        <v>10.06</v>
      </c>
      <c r="AB150">
        <v>0</v>
      </c>
      <c r="AC150">
        <v>0</v>
      </c>
      <c r="AD150">
        <v>1</v>
      </c>
      <c r="AE150">
        <v>0</v>
      </c>
      <c r="AF150" t="s">
        <v>174</v>
      </c>
      <c r="AG150">
        <v>0.53999999999999992</v>
      </c>
      <c r="AH150">
        <v>2</v>
      </c>
      <c r="AI150">
        <v>16810472</v>
      </c>
      <c r="AJ150">
        <v>151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ROW(Source!A107)</f>
        <v>107</v>
      </c>
      <c r="B151">
        <v>16810484</v>
      </c>
      <c r="C151">
        <v>16810469</v>
      </c>
      <c r="D151">
        <v>15247974</v>
      </c>
      <c r="E151">
        <v>1</v>
      </c>
      <c r="F151">
        <v>1</v>
      </c>
      <c r="G151">
        <v>1</v>
      </c>
      <c r="H151">
        <v>2</v>
      </c>
      <c r="I151" t="s">
        <v>711</v>
      </c>
      <c r="J151" t="s">
        <v>712</v>
      </c>
      <c r="K151" t="s">
        <v>713</v>
      </c>
      <c r="L151">
        <v>1368</v>
      </c>
      <c r="N151">
        <v>1011</v>
      </c>
      <c r="O151" t="s">
        <v>714</v>
      </c>
      <c r="P151" t="s">
        <v>714</v>
      </c>
      <c r="Q151">
        <v>1</v>
      </c>
      <c r="X151">
        <v>2.2999999999999998</v>
      </c>
      <c r="Y151">
        <v>0</v>
      </c>
      <c r="Z151">
        <v>31.26</v>
      </c>
      <c r="AA151">
        <v>13.5</v>
      </c>
      <c r="AB151">
        <v>0</v>
      </c>
      <c r="AC151">
        <v>0</v>
      </c>
      <c r="AD151">
        <v>1</v>
      </c>
      <c r="AE151">
        <v>0</v>
      </c>
      <c r="AF151" t="s">
        <v>174</v>
      </c>
      <c r="AG151">
        <v>3.4499999999999997</v>
      </c>
      <c r="AH151">
        <v>2</v>
      </c>
      <c r="AI151">
        <v>16810473</v>
      </c>
      <c r="AJ151">
        <v>152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ROW(Source!A107)</f>
        <v>107</v>
      </c>
      <c r="B152">
        <v>16810485</v>
      </c>
      <c r="C152">
        <v>16810469</v>
      </c>
      <c r="D152">
        <v>15248143</v>
      </c>
      <c r="E152">
        <v>1</v>
      </c>
      <c r="F152">
        <v>1</v>
      </c>
      <c r="G152">
        <v>1</v>
      </c>
      <c r="H152">
        <v>2</v>
      </c>
      <c r="I152" t="s">
        <v>873</v>
      </c>
      <c r="J152" t="s">
        <v>874</v>
      </c>
      <c r="K152" t="s">
        <v>875</v>
      </c>
      <c r="L152">
        <v>1368</v>
      </c>
      <c r="N152">
        <v>1011</v>
      </c>
      <c r="O152" t="s">
        <v>714</v>
      </c>
      <c r="P152" t="s">
        <v>714</v>
      </c>
      <c r="Q152">
        <v>1</v>
      </c>
      <c r="X152">
        <v>1.56</v>
      </c>
      <c r="Y152">
        <v>0</v>
      </c>
      <c r="Z152">
        <v>12.39</v>
      </c>
      <c r="AA152">
        <v>10.06</v>
      </c>
      <c r="AB152">
        <v>0</v>
      </c>
      <c r="AC152">
        <v>0</v>
      </c>
      <c r="AD152">
        <v>1</v>
      </c>
      <c r="AE152">
        <v>0</v>
      </c>
      <c r="AF152" t="s">
        <v>174</v>
      </c>
      <c r="AG152">
        <v>2.3400000000000003</v>
      </c>
      <c r="AH152">
        <v>2</v>
      </c>
      <c r="AI152">
        <v>16810474</v>
      </c>
      <c r="AJ152">
        <v>153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ROW(Source!A107)</f>
        <v>107</v>
      </c>
      <c r="B153">
        <v>16810486</v>
      </c>
      <c r="C153">
        <v>16810469</v>
      </c>
      <c r="D153">
        <v>15249073</v>
      </c>
      <c r="E153">
        <v>1</v>
      </c>
      <c r="F153">
        <v>1</v>
      </c>
      <c r="G153">
        <v>1</v>
      </c>
      <c r="H153">
        <v>2</v>
      </c>
      <c r="I153" t="s">
        <v>724</v>
      </c>
      <c r="J153" t="s">
        <v>725</v>
      </c>
      <c r="K153" t="s">
        <v>726</v>
      </c>
      <c r="L153">
        <v>1368</v>
      </c>
      <c r="N153">
        <v>1011</v>
      </c>
      <c r="O153" t="s">
        <v>714</v>
      </c>
      <c r="P153" t="s">
        <v>714</v>
      </c>
      <c r="Q153">
        <v>1</v>
      </c>
      <c r="X153">
        <v>0.28000000000000003</v>
      </c>
      <c r="Y153">
        <v>0</v>
      </c>
      <c r="Z153">
        <v>65.709999999999994</v>
      </c>
      <c r="AA153">
        <v>11.6</v>
      </c>
      <c r="AB153">
        <v>0</v>
      </c>
      <c r="AC153">
        <v>0</v>
      </c>
      <c r="AD153">
        <v>1</v>
      </c>
      <c r="AE153">
        <v>0</v>
      </c>
      <c r="AF153" t="s">
        <v>174</v>
      </c>
      <c r="AG153">
        <v>0.42000000000000004</v>
      </c>
      <c r="AH153">
        <v>2</v>
      </c>
      <c r="AI153">
        <v>16810475</v>
      </c>
      <c r="AJ153">
        <v>154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ROW(Source!A107)</f>
        <v>107</v>
      </c>
      <c r="B154">
        <v>16810487</v>
      </c>
      <c r="C154">
        <v>16810469</v>
      </c>
      <c r="D154">
        <v>15167286</v>
      </c>
      <c r="E154">
        <v>1</v>
      </c>
      <c r="F154">
        <v>1</v>
      </c>
      <c r="G154">
        <v>1</v>
      </c>
      <c r="H154">
        <v>3</v>
      </c>
      <c r="I154" t="s">
        <v>781</v>
      </c>
      <c r="J154" t="s">
        <v>782</v>
      </c>
      <c r="K154" t="s">
        <v>783</v>
      </c>
      <c r="L154">
        <v>1339</v>
      </c>
      <c r="N154">
        <v>1007</v>
      </c>
      <c r="O154" t="s">
        <v>254</v>
      </c>
      <c r="P154" t="s">
        <v>254</v>
      </c>
      <c r="Q154">
        <v>1</v>
      </c>
      <c r="X154">
        <v>0.1</v>
      </c>
      <c r="Y154">
        <v>2.44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6</v>
      </c>
      <c r="AG154">
        <v>0.1</v>
      </c>
      <c r="AH154">
        <v>2</v>
      </c>
      <c r="AI154">
        <v>16810476</v>
      </c>
      <c r="AJ154">
        <v>155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ROW(Source!A107)</f>
        <v>107</v>
      </c>
      <c r="B155">
        <v>16810488</v>
      </c>
      <c r="C155">
        <v>16810469</v>
      </c>
      <c r="D155">
        <v>15171018</v>
      </c>
      <c r="E155">
        <v>1</v>
      </c>
      <c r="F155">
        <v>1</v>
      </c>
      <c r="G155">
        <v>1</v>
      </c>
      <c r="H155">
        <v>3</v>
      </c>
      <c r="I155" t="s">
        <v>833</v>
      </c>
      <c r="J155" t="s">
        <v>834</v>
      </c>
      <c r="K155" t="s">
        <v>835</v>
      </c>
      <c r="L155">
        <v>1346</v>
      </c>
      <c r="N155">
        <v>1009</v>
      </c>
      <c r="O155" t="s">
        <v>300</v>
      </c>
      <c r="P155" t="s">
        <v>300</v>
      </c>
      <c r="Q155">
        <v>1</v>
      </c>
      <c r="X155">
        <v>0.5</v>
      </c>
      <c r="Y155">
        <v>1.82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6</v>
      </c>
      <c r="AG155">
        <v>0.5</v>
      </c>
      <c r="AH155">
        <v>2</v>
      </c>
      <c r="AI155">
        <v>16810477</v>
      </c>
      <c r="AJ155">
        <v>156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ROW(Source!A107)</f>
        <v>107</v>
      </c>
      <c r="B156">
        <v>16810489</v>
      </c>
      <c r="C156">
        <v>16810469</v>
      </c>
      <c r="D156">
        <v>15173044</v>
      </c>
      <c r="E156">
        <v>1</v>
      </c>
      <c r="F156">
        <v>1</v>
      </c>
      <c r="G156">
        <v>1</v>
      </c>
      <c r="H156">
        <v>3</v>
      </c>
      <c r="I156" t="s">
        <v>876</v>
      </c>
      <c r="J156" t="s">
        <v>877</v>
      </c>
      <c r="K156" t="s">
        <v>878</v>
      </c>
      <c r="L156">
        <v>1348</v>
      </c>
      <c r="N156">
        <v>1009</v>
      </c>
      <c r="O156" t="s">
        <v>104</v>
      </c>
      <c r="P156" t="s">
        <v>104</v>
      </c>
      <c r="Q156">
        <v>1000</v>
      </c>
      <c r="X156">
        <v>0.05</v>
      </c>
      <c r="Y156">
        <v>6513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6</v>
      </c>
      <c r="AG156">
        <v>0.05</v>
      </c>
      <c r="AH156">
        <v>2</v>
      </c>
      <c r="AI156">
        <v>16810478</v>
      </c>
      <c r="AJ156">
        <v>157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ROW(Source!A107)</f>
        <v>107</v>
      </c>
      <c r="B157">
        <v>16810490</v>
      </c>
      <c r="C157">
        <v>16810469</v>
      </c>
      <c r="D157">
        <v>15187044</v>
      </c>
      <c r="E157">
        <v>1</v>
      </c>
      <c r="F157">
        <v>1</v>
      </c>
      <c r="G157">
        <v>1</v>
      </c>
      <c r="H157">
        <v>3</v>
      </c>
      <c r="I157" t="s">
        <v>286</v>
      </c>
      <c r="J157" t="s">
        <v>288</v>
      </c>
      <c r="K157" t="s">
        <v>287</v>
      </c>
      <c r="L157">
        <v>1327</v>
      </c>
      <c r="N157">
        <v>1005</v>
      </c>
      <c r="O157" t="s">
        <v>190</v>
      </c>
      <c r="P157" t="s">
        <v>190</v>
      </c>
      <c r="Q157">
        <v>1</v>
      </c>
      <c r="X157">
        <v>102</v>
      </c>
      <c r="Y157">
        <v>67.8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6</v>
      </c>
      <c r="AG157">
        <v>102</v>
      </c>
      <c r="AH157">
        <v>2</v>
      </c>
      <c r="AI157">
        <v>16810479</v>
      </c>
      <c r="AJ157">
        <v>158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ROW(Source!A107)</f>
        <v>107</v>
      </c>
      <c r="B158">
        <v>16810491</v>
      </c>
      <c r="C158">
        <v>16810469</v>
      </c>
      <c r="D158">
        <v>15202590</v>
      </c>
      <c r="E158">
        <v>1</v>
      </c>
      <c r="F158">
        <v>1</v>
      </c>
      <c r="G158">
        <v>1</v>
      </c>
      <c r="H158">
        <v>3</v>
      </c>
      <c r="I158" t="s">
        <v>298</v>
      </c>
      <c r="J158" t="s">
        <v>301</v>
      </c>
      <c r="K158" t="s">
        <v>299</v>
      </c>
      <c r="L158">
        <v>1346</v>
      </c>
      <c r="N158">
        <v>1009</v>
      </c>
      <c r="O158" t="s">
        <v>300</v>
      </c>
      <c r="P158" t="s">
        <v>300</v>
      </c>
      <c r="Q158">
        <v>1</v>
      </c>
      <c r="X158">
        <v>450</v>
      </c>
      <c r="Y158">
        <v>1.37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6</v>
      </c>
      <c r="AG158">
        <v>450</v>
      </c>
      <c r="AH158">
        <v>2</v>
      </c>
      <c r="AI158">
        <v>16810480</v>
      </c>
      <c r="AJ158">
        <v>161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ROW(Source!A112)</f>
        <v>112</v>
      </c>
      <c r="B159">
        <v>16810500</v>
      </c>
      <c r="C159">
        <v>16810492</v>
      </c>
      <c r="D159">
        <v>15435721</v>
      </c>
      <c r="E159">
        <v>1</v>
      </c>
      <c r="F159">
        <v>1</v>
      </c>
      <c r="G159">
        <v>1</v>
      </c>
      <c r="H159">
        <v>1</v>
      </c>
      <c r="I159" t="s">
        <v>739</v>
      </c>
      <c r="J159" t="s">
        <v>6</v>
      </c>
      <c r="K159" t="s">
        <v>740</v>
      </c>
      <c r="L159">
        <v>1191</v>
      </c>
      <c r="N159">
        <v>1013</v>
      </c>
      <c r="O159" t="s">
        <v>708</v>
      </c>
      <c r="P159" t="s">
        <v>708</v>
      </c>
      <c r="Q159">
        <v>1</v>
      </c>
      <c r="X159">
        <v>23.82</v>
      </c>
      <c r="Y159">
        <v>0</v>
      </c>
      <c r="Z159">
        <v>0</v>
      </c>
      <c r="AA159">
        <v>0</v>
      </c>
      <c r="AB159">
        <v>9.51</v>
      </c>
      <c r="AC159">
        <v>0</v>
      </c>
      <c r="AD159">
        <v>1</v>
      </c>
      <c r="AE159">
        <v>1</v>
      </c>
      <c r="AF159" t="s">
        <v>175</v>
      </c>
      <c r="AG159">
        <v>32.871599999999994</v>
      </c>
      <c r="AH159">
        <v>2</v>
      </c>
      <c r="AI159">
        <v>16810493</v>
      </c>
      <c r="AJ159">
        <v>162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ROW(Source!A112)</f>
        <v>112</v>
      </c>
      <c r="B160">
        <v>16810501</v>
      </c>
      <c r="C160">
        <v>16810492</v>
      </c>
      <c r="D160">
        <v>15430395</v>
      </c>
      <c r="E160">
        <v>1</v>
      </c>
      <c r="F160">
        <v>1</v>
      </c>
      <c r="G160">
        <v>1</v>
      </c>
      <c r="H160">
        <v>1</v>
      </c>
      <c r="I160" t="s">
        <v>709</v>
      </c>
      <c r="J160" t="s">
        <v>6</v>
      </c>
      <c r="K160" t="s">
        <v>710</v>
      </c>
      <c r="L160">
        <v>1191</v>
      </c>
      <c r="N160">
        <v>1013</v>
      </c>
      <c r="O160" t="s">
        <v>708</v>
      </c>
      <c r="P160" t="s">
        <v>708</v>
      </c>
      <c r="Q160">
        <v>1</v>
      </c>
      <c r="X160">
        <v>0.11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2</v>
      </c>
      <c r="AF160" t="s">
        <v>174</v>
      </c>
      <c r="AG160">
        <v>0.16500000000000001</v>
      </c>
      <c r="AH160">
        <v>2</v>
      </c>
      <c r="AI160">
        <v>16810494</v>
      </c>
      <c r="AJ160">
        <v>163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ROW(Source!A112)</f>
        <v>112</v>
      </c>
      <c r="B161">
        <v>16810502</v>
      </c>
      <c r="C161">
        <v>16810492</v>
      </c>
      <c r="D161">
        <v>15247974</v>
      </c>
      <c r="E161">
        <v>1</v>
      </c>
      <c r="F161">
        <v>1</v>
      </c>
      <c r="G161">
        <v>1</v>
      </c>
      <c r="H161">
        <v>2</v>
      </c>
      <c r="I161" t="s">
        <v>711</v>
      </c>
      <c r="J161" t="s">
        <v>712</v>
      </c>
      <c r="K161" t="s">
        <v>713</v>
      </c>
      <c r="L161">
        <v>1368</v>
      </c>
      <c r="N161">
        <v>1011</v>
      </c>
      <c r="O161" t="s">
        <v>714</v>
      </c>
      <c r="P161" t="s">
        <v>714</v>
      </c>
      <c r="Q161">
        <v>1</v>
      </c>
      <c r="X161">
        <v>0.05</v>
      </c>
      <c r="Y161">
        <v>0</v>
      </c>
      <c r="Z161">
        <v>31.26</v>
      </c>
      <c r="AA161">
        <v>13.5</v>
      </c>
      <c r="AB161">
        <v>0</v>
      </c>
      <c r="AC161">
        <v>0</v>
      </c>
      <c r="AD161">
        <v>1</v>
      </c>
      <c r="AE161">
        <v>0</v>
      </c>
      <c r="AF161" t="s">
        <v>174</v>
      </c>
      <c r="AG161">
        <v>7.4999999999999997E-2</v>
      </c>
      <c r="AH161">
        <v>2</v>
      </c>
      <c r="AI161">
        <v>16810495</v>
      </c>
      <c r="AJ161">
        <v>164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ROW(Source!A112)</f>
        <v>112</v>
      </c>
      <c r="B162">
        <v>16810503</v>
      </c>
      <c r="C162">
        <v>16810492</v>
      </c>
      <c r="D162">
        <v>15249073</v>
      </c>
      <c r="E162">
        <v>1</v>
      </c>
      <c r="F162">
        <v>1</v>
      </c>
      <c r="G162">
        <v>1</v>
      </c>
      <c r="H162">
        <v>2</v>
      </c>
      <c r="I162" t="s">
        <v>724</v>
      </c>
      <c r="J162" t="s">
        <v>725</v>
      </c>
      <c r="K162" t="s">
        <v>726</v>
      </c>
      <c r="L162">
        <v>1368</v>
      </c>
      <c r="N162">
        <v>1011</v>
      </c>
      <c r="O162" t="s">
        <v>714</v>
      </c>
      <c r="P162" t="s">
        <v>714</v>
      </c>
      <c r="Q162">
        <v>1</v>
      </c>
      <c r="X162">
        <v>0.06</v>
      </c>
      <c r="Y162">
        <v>0</v>
      </c>
      <c r="Z162">
        <v>65.709999999999994</v>
      </c>
      <c r="AA162">
        <v>11.6</v>
      </c>
      <c r="AB162">
        <v>0</v>
      </c>
      <c r="AC162">
        <v>0</v>
      </c>
      <c r="AD162">
        <v>1</v>
      </c>
      <c r="AE162">
        <v>0</v>
      </c>
      <c r="AF162" t="s">
        <v>174</v>
      </c>
      <c r="AG162">
        <v>0.09</v>
      </c>
      <c r="AH162">
        <v>2</v>
      </c>
      <c r="AI162">
        <v>16810496</v>
      </c>
      <c r="AJ162">
        <v>165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ROW(Source!A112)</f>
        <v>112</v>
      </c>
      <c r="B163">
        <v>16810504</v>
      </c>
      <c r="C163">
        <v>16810492</v>
      </c>
      <c r="D163">
        <v>15162639</v>
      </c>
      <c r="E163">
        <v>17</v>
      </c>
      <c r="F163">
        <v>1</v>
      </c>
      <c r="G163">
        <v>1</v>
      </c>
      <c r="H163">
        <v>3</v>
      </c>
      <c r="I163" t="s">
        <v>252</v>
      </c>
      <c r="J163" t="s">
        <v>6</v>
      </c>
      <c r="K163" t="s">
        <v>253</v>
      </c>
      <c r="L163">
        <v>1339</v>
      </c>
      <c r="N163">
        <v>1007</v>
      </c>
      <c r="O163" t="s">
        <v>254</v>
      </c>
      <c r="P163" t="s">
        <v>254</v>
      </c>
      <c r="Q163">
        <v>1</v>
      </c>
      <c r="X163">
        <v>0.16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 t="s">
        <v>6</v>
      </c>
      <c r="AG163">
        <v>0.16</v>
      </c>
      <c r="AH163">
        <v>2</v>
      </c>
      <c r="AI163">
        <v>16810497</v>
      </c>
      <c r="AJ163">
        <v>166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ROW(Source!A112)</f>
        <v>112</v>
      </c>
      <c r="B164">
        <v>16810505</v>
      </c>
      <c r="C164">
        <v>16810492</v>
      </c>
      <c r="D164">
        <v>15162753</v>
      </c>
      <c r="E164">
        <v>17</v>
      </c>
      <c r="F164">
        <v>1</v>
      </c>
      <c r="G164">
        <v>1</v>
      </c>
      <c r="H164">
        <v>3</v>
      </c>
      <c r="I164" t="s">
        <v>309</v>
      </c>
      <c r="J164" t="s">
        <v>6</v>
      </c>
      <c r="K164" t="s">
        <v>310</v>
      </c>
      <c r="L164">
        <v>1301</v>
      </c>
      <c r="N164">
        <v>1003</v>
      </c>
      <c r="O164" t="s">
        <v>202</v>
      </c>
      <c r="P164" t="s">
        <v>202</v>
      </c>
      <c r="Q164">
        <v>1</v>
      </c>
      <c r="X164">
        <v>101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 t="s">
        <v>6</v>
      </c>
      <c r="AG164">
        <v>101</v>
      </c>
      <c r="AH164">
        <v>2</v>
      </c>
      <c r="AI164">
        <v>16810498</v>
      </c>
      <c r="AJ164">
        <v>168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ROW(Source!A117)</f>
        <v>117</v>
      </c>
      <c r="B165">
        <v>16810528</v>
      </c>
      <c r="C165">
        <v>16810509</v>
      </c>
      <c r="D165">
        <v>15438286</v>
      </c>
      <c r="E165">
        <v>1</v>
      </c>
      <c r="F165">
        <v>1</v>
      </c>
      <c r="G165">
        <v>1</v>
      </c>
      <c r="H165">
        <v>1</v>
      </c>
      <c r="I165" t="s">
        <v>805</v>
      </c>
      <c r="J165" t="s">
        <v>6</v>
      </c>
      <c r="K165" t="s">
        <v>806</v>
      </c>
      <c r="L165">
        <v>1191</v>
      </c>
      <c r="N165">
        <v>1013</v>
      </c>
      <c r="O165" t="s">
        <v>708</v>
      </c>
      <c r="P165" t="s">
        <v>708</v>
      </c>
      <c r="Q165">
        <v>1</v>
      </c>
      <c r="X165">
        <v>6.68</v>
      </c>
      <c r="Y165">
        <v>0</v>
      </c>
      <c r="Z165">
        <v>0</v>
      </c>
      <c r="AA165">
        <v>0</v>
      </c>
      <c r="AB165">
        <v>9.18</v>
      </c>
      <c r="AC165">
        <v>0</v>
      </c>
      <c r="AD165">
        <v>1</v>
      </c>
      <c r="AE165">
        <v>1</v>
      </c>
      <c r="AF165" t="s">
        <v>175</v>
      </c>
      <c r="AG165">
        <v>9.218399999999999</v>
      </c>
      <c r="AH165">
        <v>2</v>
      </c>
      <c r="AI165">
        <v>16810510</v>
      </c>
      <c r="AJ165">
        <v>170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ROW(Source!A117)</f>
        <v>117</v>
      </c>
      <c r="B166">
        <v>16810529</v>
      </c>
      <c r="C166">
        <v>16810509</v>
      </c>
      <c r="D166">
        <v>15430395</v>
      </c>
      <c r="E166">
        <v>1</v>
      </c>
      <c r="F166">
        <v>1</v>
      </c>
      <c r="G166">
        <v>1</v>
      </c>
      <c r="H166">
        <v>1</v>
      </c>
      <c r="I166" t="s">
        <v>709</v>
      </c>
      <c r="J166" t="s">
        <v>6</v>
      </c>
      <c r="K166" t="s">
        <v>710</v>
      </c>
      <c r="L166">
        <v>1191</v>
      </c>
      <c r="N166">
        <v>1013</v>
      </c>
      <c r="O166" t="s">
        <v>708</v>
      </c>
      <c r="P166" t="s">
        <v>708</v>
      </c>
      <c r="Q166">
        <v>1</v>
      </c>
      <c r="X166">
        <v>0.04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2</v>
      </c>
      <c r="AF166" t="s">
        <v>174</v>
      </c>
      <c r="AG166">
        <v>0.06</v>
      </c>
      <c r="AH166">
        <v>2</v>
      </c>
      <c r="AI166">
        <v>16810511</v>
      </c>
      <c r="AJ166">
        <v>171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ROW(Source!A117)</f>
        <v>117</v>
      </c>
      <c r="B167">
        <v>16810530</v>
      </c>
      <c r="C167">
        <v>16810509</v>
      </c>
      <c r="D167">
        <v>15247974</v>
      </c>
      <c r="E167">
        <v>1</v>
      </c>
      <c r="F167">
        <v>1</v>
      </c>
      <c r="G167">
        <v>1</v>
      </c>
      <c r="H167">
        <v>2</v>
      </c>
      <c r="I167" t="s">
        <v>711</v>
      </c>
      <c r="J167" t="s">
        <v>712</v>
      </c>
      <c r="K167" t="s">
        <v>713</v>
      </c>
      <c r="L167">
        <v>1368</v>
      </c>
      <c r="N167">
        <v>1011</v>
      </c>
      <c r="O167" t="s">
        <v>714</v>
      </c>
      <c r="P167" t="s">
        <v>714</v>
      </c>
      <c r="Q167">
        <v>1</v>
      </c>
      <c r="X167">
        <v>5.0000000000000001E-3</v>
      </c>
      <c r="Y167">
        <v>0</v>
      </c>
      <c r="Z167">
        <v>31.26</v>
      </c>
      <c r="AA167">
        <v>13.5</v>
      </c>
      <c r="AB167">
        <v>0</v>
      </c>
      <c r="AC167">
        <v>0</v>
      </c>
      <c r="AD167">
        <v>1</v>
      </c>
      <c r="AE167">
        <v>0</v>
      </c>
      <c r="AF167" t="s">
        <v>174</v>
      </c>
      <c r="AG167">
        <v>7.4999999999999997E-3</v>
      </c>
      <c r="AH167">
        <v>2</v>
      </c>
      <c r="AI167">
        <v>16810512</v>
      </c>
      <c r="AJ167">
        <v>172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ROW(Source!A117)</f>
        <v>117</v>
      </c>
      <c r="B168">
        <v>16810531</v>
      </c>
      <c r="C168">
        <v>16810509</v>
      </c>
      <c r="D168">
        <v>15249073</v>
      </c>
      <c r="E168">
        <v>1</v>
      </c>
      <c r="F168">
        <v>1</v>
      </c>
      <c r="G168">
        <v>1</v>
      </c>
      <c r="H168">
        <v>2</v>
      </c>
      <c r="I168" t="s">
        <v>724</v>
      </c>
      <c r="J168" t="s">
        <v>725</v>
      </c>
      <c r="K168" t="s">
        <v>726</v>
      </c>
      <c r="L168">
        <v>1368</v>
      </c>
      <c r="N168">
        <v>1011</v>
      </c>
      <c r="O168" t="s">
        <v>714</v>
      </c>
      <c r="P168" t="s">
        <v>714</v>
      </c>
      <c r="Q168">
        <v>1</v>
      </c>
      <c r="X168">
        <v>0.03</v>
      </c>
      <c r="Y168">
        <v>0</v>
      </c>
      <c r="Z168">
        <v>65.709999999999994</v>
      </c>
      <c r="AA168">
        <v>11.6</v>
      </c>
      <c r="AB168">
        <v>0</v>
      </c>
      <c r="AC168">
        <v>0</v>
      </c>
      <c r="AD168">
        <v>1</v>
      </c>
      <c r="AE168">
        <v>0</v>
      </c>
      <c r="AF168" t="s">
        <v>174</v>
      </c>
      <c r="AG168">
        <v>4.4999999999999998E-2</v>
      </c>
      <c r="AH168">
        <v>2</v>
      </c>
      <c r="AI168">
        <v>16810513</v>
      </c>
      <c r="AJ168">
        <v>173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ROW(Source!A117)</f>
        <v>117</v>
      </c>
      <c r="B169">
        <v>16810532</v>
      </c>
      <c r="C169">
        <v>16810509</v>
      </c>
      <c r="D169">
        <v>15169972</v>
      </c>
      <c r="E169">
        <v>1</v>
      </c>
      <c r="F169">
        <v>1</v>
      </c>
      <c r="G169">
        <v>1</v>
      </c>
      <c r="H169">
        <v>3</v>
      </c>
      <c r="I169" t="s">
        <v>879</v>
      </c>
      <c r="J169" t="s">
        <v>880</v>
      </c>
      <c r="K169" t="s">
        <v>881</v>
      </c>
      <c r="L169">
        <v>1355</v>
      </c>
      <c r="N169">
        <v>1010</v>
      </c>
      <c r="O169" t="s">
        <v>326</v>
      </c>
      <c r="P169" t="s">
        <v>326</v>
      </c>
      <c r="Q169">
        <v>100</v>
      </c>
      <c r="X169">
        <v>2.63</v>
      </c>
      <c r="Y169">
        <v>12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6</v>
      </c>
      <c r="AG169">
        <v>2.63</v>
      </c>
      <c r="AH169">
        <v>2</v>
      </c>
      <c r="AI169">
        <v>16810514</v>
      </c>
      <c r="AJ169">
        <v>174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ROW(Source!A117)</f>
        <v>117</v>
      </c>
      <c r="B170">
        <v>16810533</v>
      </c>
      <c r="C170">
        <v>16810509</v>
      </c>
      <c r="D170">
        <v>15170075</v>
      </c>
      <c r="E170">
        <v>1</v>
      </c>
      <c r="F170">
        <v>1</v>
      </c>
      <c r="G170">
        <v>1</v>
      </c>
      <c r="H170">
        <v>3</v>
      </c>
      <c r="I170" t="s">
        <v>882</v>
      </c>
      <c r="J170" t="s">
        <v>883</v>
      </c>
      <c r="K170" t="s">
        <v>884</v>
      </c>
      <c r="L170">
        <v>1356</v>
      </c>
      <c r="N170">
        <v>1010</v>
      </c>
      <c r="O170" t="s">
        <v>744</v>
      </c>
      <c r="P170" t="s">
        <v>744</v>
      </c>
      <c r="Q170">
        <v>1000</v>
      </c>
      <c r="X170">
        <v>0.26300000000000001</v>
      </c>
      <c r="Y170">
        <v>160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6</v>
      </c>
      <c r="AG170">
        <v>0.26300000000000001</v>
      </c>
      <c r="AH170">
        <v>2</v>
      </c>
      <c r="AI170">
        <v>16810515</v>
      </c>
      <c r="AJ170">
        <v>175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ROW(Source!A117)</f>
        <v>117</v>
      </c>
      <c r="B171">
        <v>16810534</v>
      </c>
      <c r="C171">
        <v>16810509</v>
      </c>
      <c r="D171">
        <v>15162756</v>
      </c>
      <c r="E171">
        <v>17</v>
      </c>
      <c r="F171">
        <v>1</v>
      </c>
      <c r="G171">
        <v>1</v>
      </c>
      <c r="H171">
        <v>3</v>
      </c>
      <c r="I171" t="s">
        <v>345</v>
      </c>
      <c r="J171" t="s">
        <v>6</v>
      </c>
      <c r="K171" t="s">
        <v>346</v>
      </c>
      <c r="L171">
        <v>1301</v>
      </c>
      <c r="N171">
        <v>1003</v>
      </c>
      <c r="O171" t="s">
        <v>202</v>
      </c>
      <c r="P171" t="s">
        <v>202</v>
      </c>
      <c r="Q171">
        <v>1</v>
      </c>
      <c r="X171">
        <v>101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 t="s">
        <v>6</v>
      </c>
      <c r="AG171">
        <v>101</v>
      </c>
      <c r="AH171">
        <v>2</v>
      </c>
      <c r="AI171">
        <v>16810516</v>
      </c>
      <c r="AJ171">
        <v>176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ROW(Source!A117)</f>
        <v>117</v>
      </c>
      <c r="B172">
        <v>16810535</v>
      </c>
      <c r="C172">
        <v>16810509</v>
      </c>
      <c r="D172">
        <v>15162763</v>
      </c>
      <c r="E172">
        <v>17</v>
      </c>
      <c r="F172">
        <v>1</v>
      </c>
      <c r="G172">
        <v>1</v>
      </c>
      <c r="H172">
        <v>3</v>
      </c>
      <c r="I172" t="s">
        <v>348</v>
      </c>
      <c r="J172" t="s">
        <v>6</v>
      </c>
      <c r="K172" t="s">
        <v>349</v>
      </c>
      <c r="L172">
        <v>1354</v>
      </c>
      <c r="N172">
        <v>1010</v>
      </c>
      <c r="O172" t="s">
        <v>350</v>
      </c>
      <c r="P172" t="s">
        <v>350</v>
      </c>
      <c r="Q172">
        <v>1</v>
      </c>
      <c r="X172">
        <v>7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 t="s">
        <v>6</v>
      </c>
      <c r="AG172">
        <v>7</v>
      </c>
      <c r="AH172">
        <v>2</v>
      </c>
      <c r="AI172">
        <v>16810518</v>
      </c>
      <c r="AJ172">
        <v>178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ROW(Source!A117)</f>
        <v>117</v>
      </c>
      <c r="B173">
        <v>16810536</v>
      </c>
      <c r="C173">
        <v>16810509</v>
      </c>
      <c r="D173">
        <v>15162762</v>
      </c>
      <c r="E173">
        <v>17</v>
      </c>
      <c r="F173">
        <v>1</v>
      </c>
      <c r="G173">
        <v>1</v>
      </c>
      <c r="H173">
        <v>3</v>
      </c>
      <c r="I173" t="s">
        <v>348</v>
      </c>
      <c r="J173" t="s">
        <v>6</v>
      </c>
      <c r="K173" t="s">
        <v>352</v>
      </c>
      <c r="L173">
        <v>1354</v>
      </c>
      <c r="N173">
        <v>1010</v>
      </c>
      <c r="O173" t="s">
        <v>350</v>
      </c>
      <c r="P173" t="s">
        <v>350</v>
      </c>
      <c r="Q173">
        <v>1</v>
      </c>
      <c r="X173">
        <v>7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 t="s">
        <v>6</v>
      </c>
      <c r="AG173">
        <v>7</v>
      </c>
      <c r="AH173">
        <v>2</v>
      </c>
      <c r="AI173">
        <v>16810519</v>
      </c>
      <c r="AJ173">
        <v>179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ROW(Source!A117)</f>
        <v>117</v>
      </c>
      <c r="B174">
        <v>16810537</v>
      </c>
      <c r="C174">
        <v>16810509</v>
      </c>
      <c r="D174">
        <v>15162761</v>
      </c>
      <c r="E174">
        <v>17</v>
      </c>
      <c r="F174">
        <v>1</v>
      </c>
      <c r="G174">
        <v>1</v>
      </c>
      <c r="H174">
        <v>3</v>
      </c>
      <c r="I174" t="s">
        <v>348</v>
      </c>
      <c r="J174" t="s">
        <v>6</v>
      </c>
      <c r="K174" t="s">
        <v>354</v>
      </c>
      <c r="L174">
        <v>1354</v>
      </c>
      <c r="N174">
        <v>1010</v>
      </c>
      <c r="O174" t="s">
        <v>350</v>
      </c>
      <c r="P174" t="s">
        <v>350</v>
      </c>
      <c r="Q174">
        <v>1</v>
      </c>
      <c r="X174">
        <v>40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 t="s">
        <v>6</v>
      </c>
      <c r="AG174">
        <v>40</v>
      </c>
      <c r="AH174">
        <v>2</v>
      </c>
      <c r="AI174">
        <v>16810520</v>
      </c>
      <c r="AJ174">
        <v>180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ROW(Source!A117)</f>
        <v>117</v>
      </c>
      <c r="B175">
        <v>16810538</v>
      </c>
      <c r="C175">
        <v>16810509</v>
      </c>
      <c r="D175">
        <v>15162759</v>
      </c>
      <c r="E175">
        <v>17</v>
      </c>
      <c r="F175">
        <v>1</v>
      </c>
      <c r="G175">
        <v>1</v>
      </c>
      <c r="H175">
        <v>3</v>
      </c>
      <c r="I175" t="s">
        <v>348</v>
      </c>
      <c r="J175" t="s">
        <v>6</v>
      </c>
      <c r="K175" t="s">
        <v>356</v>
      </c>
      <c r="L175">
        <v>1354</v>
      </c>
      <c r="N175">
        <v>1010</v>
      </c>
      <c r="O175" t="s">
        <v>350</v>
      </c>
      <c r="P175" t="s">
        <v>350</v>
      </c>
      <c r="Q175">
        <v>1</v>
      </c>
      <c r="X175">
        <v>8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 t="s">
        <v>6</v>
      </c>
      <c r="AG175">
        <v>8</v>
      </c>
      <c r="AH175">
        <v>2</v>
      </c>
      <c r="AI175">
        <v>16810521</v>
      </c>
      <c r="AJ175">
        <v>181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ROW(Source!A117)</f>
        <v>117</v>
      </c>
      <c r="B176">
        <v>16810539</v>
      </c>
      <c r="C176">
        <v>16810509</v>
      </c>
      <c r="D176">
        <v>15162760</v>
      </c>
      <c r="E176">
        <v>17</v>
      </c>
      <c r="F176">
        <v>1</v>
      </c>
      <c r="G176">
        <v>1</v>
      </c>
      <c r="H176">
        <v>3</v>
      </c>
      <c r="I176" t="s">
        <v>348</v>
      </c>
      <c r="J176" t="s">
        <v>6</v>
      </c>
      <c r="K176" t="s">
        <v>358</v>
      </c>
      <c r="L176">
        <v>1354</v>
      </c>
      <c r="N176">
        <v>1010</v>
      </c>
      <c r="O176" t="s">
        <v>350</v>
      </c>
      <c r="P176" t="s">
        <v>350</v>
      </c>
      <c r="Q176">
        <v>1</v>
      </c>
      <c r="X176">
        <v>8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 t="s">
        <v>6</v>
      </c>
      <c r="AG176">
        <v>8</v>
      </c>
      <c r="AH176">
        <v>2</v>
      </c>
      <c r="AI176">
        <v>16810522</v>
      </c>
      <c r="AJ176">
        <v>182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ROW(Source!A130)</f>
        <v>130</v>
      </c>
      <c r="B177">
        <v>16810565</v>
      </c>
      <c r="C177">
        <v>16810552</v>
      </c>
      <c r="D177">
        <v>15438286</v>
      </c>
      <c r="E177">
        <v>1</v>
      </c>
      <c r="F177">
        <v>1</v>
      </c>
      <c r="G177">
        <v>1</v>
      </c>
      <c r="H177">
        <v>1</v>
      </c>
      <c r="I177" t="s">
        <v>805</v>
      </c>
      <c r="J177" t="s">
        <v>6</v>
      </c>
      <c r="K177" t="s">
        <v>806</v>
      </c>
      <c r="L177">
        <v>1191</v>
      </c>
      <c r="N177">
        <v>1013</v>
      </c>
      <c r="O177" t="s">
        <v>708</v>
      </c>
      <c r="P177" t="s">
        <v>708</v>
      </c>
      <c r="Q177">
        <v>1</v>
      </c>
      <c r="X177">
        <v>159.66999999999999</v>
      </c>
      <c r="Y177">
        <v>0</v>
      </c>
      <c r="Z177">
        <v>0</v>
      </c>
      <c r="AA177">
        <v>0</v>
      </c>
      <c r="AB177">
        <v>9.18</v>
      </c>
      <c r="AC177">
        <v>0</v>
      </c>
      <c r="AD177">
        <v>1</v>
      </c>
      <c r="AE177">
        <v>1</v>
      </c>
      <c r="AF177" t="s">
        <v>175</v>
      </c>
      <c r="AG177">
        <v>220.34459999999996</v>
      </c>
      <c r="AH177">
        <v>2</v>
      </c>
      <c r="AI177">
        <v>16810553</v>
      </c>
      <c r="AJ177">
        <v>188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ROW(Source!A130)</f>
        <v>130</v>
      </c>
      <c r="B178">
        <v>16810566</v>
      </c>
      <c r="C178">
        <v>16810552</v>
      </c>
      <c r="D178">
        <v>15430395</v>
      </c>
      <c r="E178">
        <v>1</v>
      </c>
      <c r="F178">
        <v>1</v>
      </c>
      <c r="G178">
        <v>1</v>
      </c>
      <c r="H178">
        <v>1</v>
      </c>
      <c r="I178" t="s">
        <v>709</v>
      </c>
      <c r="J178" t="s">
        <v>6</v>
      </c>
      <c r="K178" t="s">
        <v>710</v>
      </c>
      <c r="L178">
        <v>1191</v>
      </c>
      <c r="N178">
        <v>1013</v>
      </c>
      <c r="O178" t="s">
        <v>708</v>
      </c>
      <c r="P178" t="s">
        <v>708</v>
      </c>
      <c r="Q178">
        <v>1</v>
      </c>
      <c r="X178">
        <v>1.65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2</v>
      </c>
      <c r="AF178" t="s">
        <v>174</v>
      </c>
      <c r="AG178">
        <v>2.4750000000000001</v>
      </c>
      <c r="AH178">
        <v>2</v>
      </c>
      <c r="AI178">
        <v>16810554</v>
      </c>
      <c r="AJ178">
        <v>189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ROW(Source!A130)</f>
        <v>130</v>
      </c>
      <c r="B179">
        <v>16810567</v>
      </c>
      <c r="C179">
        <v>16810552</v>
      </c>
      <c r="D179">
        <v>15247905</v>
      </c>
      <c r="E179">
        <v>1</v>
      </c>
      <c r="F179">
        <v>1</v>
      </c>
      <c r="G179">
        <v>1</v>
      </c>
      <c r="H179">
        <v>2</v>
      </c>
      <c r="I179" t="s">
        <v>870</v>
      </c>
      <c r="J179" t="s">
        <v>871</v>
      </c>
      <c r="K179" t="s">
        <v>872</v>
      </c>
      <c r="L179">
        <v>1368</v>
      </c>
      <c r="N179">
        <v>1011</v>
      </c>
      <c r="O179" t="s">
        <v>714</v>
      </c>
      <c r="P179" t="s">
        <v>714</v>
      </c>
      <c r="Q179">
        <v>1</v>
      </c>
      <c r="X179">
        <v>0.08</v>
      </c>
      <c r="Y179">
        <v>0</v>
      </c>
      <c r="Z179">
        <v>89.99</v>
      </c>
      <c r="AA179">
        <v>10.06</v>
      </c>
      <c r="AB179">
        <v>0</v>
      </c>
      <c r="AC179">
        <v>0</v>
      </c>
      <c r="AD179">
        <v>1</v>
      </c>
      <c r="AE179">
        <v>0</v>
      </c>
      <c r="AF179" t="s">
        <v>174</v>
      </c>
      <c r="AG179">
        <v>0.12</v>
      </c>
      <c r="AH179">
        <v>2</v>
      </c>
      <c r="AI179">
        <v>16810555</v>
      </c>
      <c r="AJ179">
        <v>190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ROW(Source!A130)</f>
        <v>130</v>
      </c>
      <c r="B180">
        <v>16810568</v>
      </c>
      <c r="C180">
        <v>16810552</v>
      </c>
      <c r="D180">
        <v>15247974</v>
      </c>
      <c r="E180">
        <v>1</v>
      </c>
      <c r="F180">
        <v>1</v>
      </c>
      <c r="G180">
        <v>1</v>
      </c>
      <c r="H180">
        <v>2</v>
      </c>
      <c r="I180" t="s">
        <v>711</v>
      </c>
      <c r="J180" t="s">
        <v>712</v>
      </c>
      <c r="K180" t="s">
        <v>713</v>
      </c>
      <c r="L180">
        <v>1368</v>
      </c>
      <c r="N180">
        <v>1011</v>
      </c>
      <c r="O180" t="s">
        <v>714</v>
      </c>
      <c r="P180" t="s">
        <v>714</v>
      </c>
      <c r="Q180">
        <v>1</v>
      </c>
      <c r="X180">
        <v>0.27</v>
      </c>
      <c r="Y180">
        <v>0</v>
      </c>
      <c r="Z180">
        <v>31.26</v>
      </c>
      <c r="AA180">
        <v>13.5</v>
      </c>
      <c r="AB180">
        <v>0</v>
      </c>
      <c r="AC180">
        <v>0</v>
      </c>
      <c r="AD180">
        <v>1</v>
      </c>
      <c r="AE180">
        <v>0</v>
      </c>
      <c r="AF180" t="s">
        <v>174</v>
      </c>
      <c r="AG180">
        <v>0.40500000000000003</v>
      </c>
      <c r="AH180">
        <v>2</v>
      </c>
      <c r="AI180">
        <v>16810556</v>
      </c>
      <c r="AJ180">
        <v>191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ROW(Source!A130)</f>
        <v>130</v>
      </c>
      <c r="B181">
        <v>16810569</v>
      </c>
      <c r="C181">
        <v>16810552</v>
      </c>
      <c r="D181">
        <v>15248143</v>
      </c>
      <c r="E181">
        <v>1</v>
      </c>
      <c r="F181">
        <v>1</v>
      </c>
      <c r="G181">
        <v>1</v>
      </c>
      <c r="H181">
        <v>2</v>
      </c>
      <c r="I181" t="s">
        <v>873</v>
      </c>
      <c r="J181" t="s">
        <v>874</v>
      </c>
      <c r="K181" t="s">
        <v>875</v>
      </c>
      <c r="L181">
        <v>1368</v>
      </c>
      <c r="N181">
        <v>1011</v>
      </c>
      <c r="O181" t="s">
        <v>714</v>
      </c>
      <c r="P181" t="s">
        <v>714</v>
      </c>
      <c r="Q181">
        <v>1</v>
      </c>
      <c r="X181">
        <v>1.3</v>
      </c>
      <c r="Y181">
        <v>0</v>
      </c>
      <c r="Z181">
        <v>12.39</v>
      </c>
      <c r="AA181">
        <v>10.06</v>
      </c>
      <c r="AB181">
        <v>0</v>
      </c>
      <c r="AC181">
        <v>0</v>
      </c>
      <c r="AD181">
        <v>1</v>
      </c>
      <c r="AE181">
        <v>0</v>
      </c>
      <c r="AF181" t="s">
        <v>174</v>
      </c>
      <c r="AG181">
        <v>1.95</v>
      </c>
      <c r="AH181">
        <v>2</v>
      </c>
      <c r="AI181">
        <v>16810557</v>
      </c>
      <c r="AJ181">
        <v>192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ROW(Source!A130)</f>
        <v>130</v>
      </c>
      <c r="B182">
        <v>16810570</v>
      </c>
      <c r="C182">
        <v>16810552</v>
      </c>
      <c r="D182">
        <v>15167286</v>
      </c>
      <c r="E182">
        <v>1</v>
      </c>
      <c r="F182">
        <v>1</v>
      </c>
      <c r="G182">
        <v>1</v>
      </c>
      <c r="H182">
        <v>3</v>
      </c>
      <c r="I182" t="s">
        <v>781</v>
      </c>
      <c r="J182" t="s">
        <v>782</v>
      </c>
      <c r="K182" t="s">
        <v>783</v>
      </c>
      <c r="L182">
        <v>1339</v>
      </c>
      <c r="N182">
        <v>1007</v>
      </c>
      <c r="O182" t="s">
        <v>254</v>
      </c>
      <c r="P182" t="s">
        <v>254</v>
      </c>
      <c r="Q182">
        <v>1</v>
      </c>
      <c r="X182">
        <v>0.93</v>
      </c>
      <c r="Y182">
        <v>2.44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6</v>
      </c>
      <c r="AG182">
        <v>0.93</v>
      </c>
      <c r="AH182">
        <v>2</v>
      </c>
      <c r="AI182">
        <v>16810558</v>
      </c>
      <c r="AJ182">
        <v>193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ROW(Source!A130)</f>
        <v>130</v>
      </c>
      <c r="B183">
        <v>16810571</v>
      </c>
      <c r="C183">
        <v>16810552</v>
      </c>
      <c r="D183">
        <v>15171018</v>
      </c>
      <c r="E183">
        <v>1</v>
      </c>
      <c r="F183">
        <v>1</v>
      </c>
      <c r="G183">
        <v>1</v>
      </c>
      <c r="H183">
        <v>3</v>
      </c>
      <c r="I183" t="s">
        <v>833</v>
      </c>
      <c r="J183" t="s">
        <v>834</v>
      </c>
      <c r="K183" t="s">
        <v>835</v>
      </c>
      <c r="L183">
        <v>1346</v>
      </c>
      <c r="N183">
        <v>1009</v>
      </c>
      <c r="O183" t="s">
        <v>300</v>
      </c>
      <c r="P183" t="s">
        <v>300</v>
      </c>
      <c r="Q183">
        <v>1</v>
      </c>
      <c r="X183">
        <v>0.5</v>
      </c>
      <c r="Y183">
        <v>1.82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6</v>
      </c>
      <c r="AG183">
        <v>0.5</v>
      </c>
      <c r="AH183">
        <v>2</v>
      </c>
      <c r="AI183">
        <v>16810559</v>
      </c>
      <c r="AJ183">
        <v>194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ROW(Source!A130)</f>
        <v>130</v>
      </c>
      <c r="B184">
        <v>16810572</v>
      </c>
      <c r="C184">
        <v>16810552</v>
      </c>
      <c r="D184">
        <v>15162949</v>
      </c>
      <c r="E184">
        <v>17</v>
      </c>
      <c r="F184">
        <v>1</v>
      </c>
      <c r="G184">
        <v>1</v>
      </c>
      <c r="H184">
        <v>3</v>
      </c>
      <c r="I184" t="s">
        <v>364</v>
      </c>
      <c r="J184" t="s">
        <v>6</v>
      </c>
      <c r="K184" t="s">
        <v>365</v>
      </c>
      <c r="L184">
        <v>1348</v>
      </c>
      <c r="N184">
        <v>1009</v>
      </c>
      <c r="O184" t="s">
        <v>104</v>
      </c>
      <c r="P184" t="s">
        <v>104</v>
      </c>
      <c r="Q184">
        <v>1000</v>
      </c>
      <c r="X184">
        <v>0.05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 t="s">
        <v>6</v>
      </c>
      <c r="AG184">
        <v>0.05</v>
      </c>
      <c r="AH184">
        <v>2</v>
      </c>
      <c r="AI184">
        <v>16810560</v>
      </c>
      <c r="AJ184">
        <v>195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ROW(Source!A130)</f>
        <v>130</v>
      </c>
      <c r="B185">
        <v>16810573</v>
      </c>
      <c r="C185">
        <v>16810552</v>
      </c>
      <c r="D185">
        <v>15162946</v>
      </c>
      <c r="E185">
        <v>17</v>
      </c>
      <c r="F185">
        <v>1</v>
      </c>
      <c r="G185">
        <v>1</v>
      </c>
      <c r="H185">
        <v>3</v>
      </c>
      <c r="I185" t="s">
        <v>367</v>
      </c>
      <c r="J185" t="s">
        <v>6</v>
      </c>
      <c r="K185" t="s">
        <v>368</v>
      </c>
      <c r="L185">
        <v>1327</v>
      </c>
      <c r="N185">
        <v>1005</v>
      </c>
      <c r="O185" t="s">
        <v>190</v>
      </c>
      <c r="P185" t="s">
        <v>190</v>
      </c>
      <c r="Q185">
        <v>1</v>
      </c>
      <c r="X185">
        <v>100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 t="s">
        <v>6</v>
      </c>
      <c r="AG185">
        <v>100</v>
      </c>
      <c r="AH185">
        <v>2</v>
      </c>
      <c r="AI185">
        <v>16810562</v>
      </c>
      <c r="AJ185">
        <v>197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ROW(Source!A130)</f>
        <v>130</v>
      </c>
      <c r="B186">
        <v>16810574</v>
      </c>
      <c r="C186">
        <v>16810552</v>
      </c>
      <c r="D186">
        <v>15162952</v>
      </c>
      <c r="E186">
        <v>17</v>
      </c>
      <c r="F186">
        <v>1</v>
      </c>
      <c r="G186">
        <v>1</v>
      </c>
      <c r="H186">
        <v>3</v>
      </c>
      <c r="I186" t="s">
        <v>374</v>
      </c>
      <c r="J186" t="s">
        <v>6</v>
      </c>
      <c r="K186" t="s">
        <v>375</v>
      </c>
      <c r="L186">
        <v>1348</v>
      </c>
      <c r="N186">
        <v>1009</v>
      </c>
      <c r="O186" t="s">
        <v>104</v>
      </c>
      <c r="P186" t="s">
        <v>104</v>
      </c>
      <c r="Q186">
        <v>1000</v>
      </c>
      <c r="X186">
        <v>0.375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 t="s">
        <v>6</v>
      </c>
      <c r="AG186">
        <v>0.375</v>
      </c>
      <c r="AH186">
        <v>2</v>
      </c>
      <c r="AI186">
        <v>16810563</v>
      </c>
      <c r="AJ186">
        <v>198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ROW(Source!A136)</f>
        <v>136</v>
      </c>
      <c r="B187">
        <v>16810600</v>
      </c>
      <c r="C187">
        <v>16810580</v>
      </c>
      <c r="D187">
        <v>15430447</v>
      </c>
      <c r="E187">
        <v>1</v>
      </c>
      <c r="F187">
        <v>1</v>
      </c>
      <c r="G187">
        <v>1</v>
      </c>
      <c r="H187">
        <v>1</v>
      </c>
      <c r="I187" t="s">
        <v>765</v>
      </c>
      <c r="J187" t="s">
        <v>6</v>
      </c>
      <c r="K187" t="s">
        <v>766</v>
      </c>
      <c r="L187">
        <v>1191</v>
      </c>
      <c r="N187">
        <v>1013</v>
      </c>
      <c r="O187" t="s">
        <v>708</v>
      </c>
      <c r="P187" t="s">
        <v>708</v>
      </c>
      <c r="Q187">
        <v>1</v>
      </c>
      <c r="X187">
        <v>132</v>
      </c>
      <c r="Y187">
        <v>0</v>
      </c>
      <c r="Z187">
        <v>0</v>
      </c>
      <c r="AA187">
        <v>0</v>
      </c>
      <c r="AB187">
        <v>9.07</v>
      </c>
      <c r="AC187">
        <v>0</v>
      </c>
      <c r="AD187">
        <v>1</v>
      </c>
      <c r="AE187">
        <v>1</v>
      </c>
      <c r="AF187" t="s">
        <v>175</v>
      </c>
      <c r="AG187">
        <v>182.15999999999997</v>
      </c>
      <c r="AH187">
        <v>2</v>
      </c>
      <c r="AI187">
        <v>16810581</v>
      </c>
      <c r="AJ187">
        <v>200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ROW(Source!A136)</f>
        <v>136</v>
      </c>
      <c r="B188">
        <v>16810601</v>
      </c>
      <c r="C188">
        <v>16810580</v>
      </c>
      <c r="D188">
        <v>15250017</v>
      </c>
      <c r="E188">
        <v>1</v>
      </c>
      <c r="F188">
        <v>1</v>
      </c>
      <c r="G188">
        <v>1</v>
      </c>
      <c r="H188">
        <v>2</v>
      </c>
      <c r="I188" t="s">
        <v>885</v>
      </c>
      <c r="J188" t="s">
        <v>886</v>
      </c>
      <c r="K188" t="s">
        <v>887</v>
      </c>
      <c r="L188">
        <v>1368</v>
      </c>
      <c r="N188">
        <v>1011</v>
      </c>
      <c r="O188" t="s">
        <v>714</v>
      </c>
      <c r="P188" t="s">
        <v>714</v>
      </c>
      <c r="Q188">
        <v>1</v>
      </c>
      <c r="X188">
        <v>0.1</v>
      </c>
      <c r="Y188">
        <v>0</v>
      </c>
      <c r="Z188">
        <v>33.590000000000003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174</v>
      </c>
      <c r="AG188">
        <v>0.15</v>
      </c>
      <c r="AH188">
        <v>2</v>
      </c>
      <c r="AI188">
        <v>16810582</v>
      </c>
      <c r="AJ188">
        <v>201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ROW(Source!A136)</f>
        <v>136</v>
      </c>
      <c r="B189">
        <v>16810602</v>
      </c>
      <c r="C189">
        <v>16810580</v>
      </c>
      <c r="D189">
        <v>15162588</v>
      </c>
      <c r="E189">
        <v>17</v>
      </c>
      <c r="F189">
        <v>1</v>
      </c>
      <c r="G189">
        <v>1</v>
      </c>
      <c r="H189">
        <v>3</v>
      </c>
      <c r="I189" t="s">
        <v>382</v>
      </c>
      <c r="J189" t="s">
        <v>6</v>
      </c>
      <c r="K189" t="s">
        <v>383</v>
      </c>
      <c r="L189">
        <v>1327</v>
      </c>
      <c r="N189">
        <v>1005</v>
      </c>
      <c r="O189" t="s">
        <v>190</v>
      </c>
      <c r="P189" t="s">
        <v>190</v>
      </c>
      <c r="Q189">
        <v>1</v>
      </c>
      <c r="X189">
        <v>421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 t="s">
        <v>6</v>
      </c>
      <c r="AG189">
        <v>421</v>
      </c>
      <c r="AH189">
        <v>2</v>
      </c>
      <c r="AI189">
        <v>16810583</v>
      </c>
      <c r="AJ189">
        <v>202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ROW(Source!A136)</f>
        <v>136</v>
      </c>
      <c r="B190">
        <v>16810603</v>
      </c>
      <c r="C190">
        <v>16810580</v>
      </c>
      <c r="D190">
        <v>15167286</v>
      </c>
      <c r="E190">
        <v>1</v>
      </c>
      <c r="F190">
        <v>1</v>
      </c>
      <c r="G190">
        <v>1</v>
      </c>
      <c r="H190">
        <v>3</v>
      </c>
      <c r="I190" t="s">
        <v>781</v>
      </c>
      <c r="J190" t="s">
        <v>782</v>
      </c>
      <c r="K190" t="s">
        <v>783</v>
      </c>
      <c r="L190">
        <v>1339</v>
      </c>
      <c r="N190">
        <v>1007</v>
      </c>
      <c r="O190" t="s">
        <v>254</v>
      </c>
      <c r="P190" t="s">
        <v>254</v>
      </c>
      <c r="Q190">
        <v>1</v>
      </c>
      <c r="X190">
        <v>0.13</v>
      </c>
      <c r="Y190">
        <v>2.44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6</v>
      </c>
      <c r="AG190">
        <v>0.13</v>
      </c>
      <c r="AH190">
        <v>2</v>
      </c>
      <c r="AI190">
        <v>16810585</v>
      </c>
      <c r="AJ190">
        <v>204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ROW(Source!A136)</f>
        <v>136</v>
      </c>
      <c r="B191">
        <v>16810604</v>
      </c>
      <c r="C191">
        <v>16810580</v>
      </c>
      <c r="D191">
        <v>15167572</v>
      </c>
      <c r="E191">
        <v>1</v>
      </c>
      <c r="F191">
        <v>1</v>
      </c>
      <c r="G191">
        <v>1</v>
      </c>
      <c r="H191">
        <v>3</v>
      </c>
      <c r="I191" t="s">
        <v>888</v>
      </c>
      <c r="J191" t="s">
        <v>889</v>
      </c>
      <c r="K191" t="s">
        <v>890</v>
      </c>
      <c r="L191">
        <v>1301</v>
      </c>
      <c r="N191">
        <v>1003</v>
      </c>
      <c r="O191" t="s">
        <v>202</v>
      </c>
      <c r="P191" t="s">
        <v>202</v>
      </c>
      <c r="Q191">
        <v>1</v>
      </c>
      <c r="X191">
        <v>152</v>
      </c>
      <c r="Y191">
        <v>0.17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6</v>
      </c>
      <c r="AG191">
        <v>152</v>
      </c>
      <c r="AH191">
        <v>2</v>
      </c>
      <c r="AI191">
        <v>16810587</v>
      </c>
      <c r="AJ191">
        <v>206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ROW(Source!A136)</f>
        <v>136</v>
      </c>
      <c r="B192">
        <v>16810605</v>
      </c>
      <c r="C192">
        <v>16810580</v>
      </c>
      <c r="D192">
        <v>15167577</v>
      </c>
      <c r="E192">
        <v>1</v>
      </c>
      <c r="F192">
        <v>1</v>
      </c>
      <c r="G192">
        <v>1</v>
      </c>
      <c r="H192">
        <v>3</v>
      </c>
      <c r="I192" t="s">
        <v>891</v>
      </c>
      <c r="J192" t="s">
        <v>892</v>
      </c>
      <c r="K192" t="s">
        <v>893</v>
      </c>
      <c r="L192">
        <v>1308</v>
      </c>
      <c r="N192">
        <v>1003</v>
      </c>
      <c r="O192" t="s">
        <v>40</v>
      </c>
      <c r="P192" t="s">
        <v>40</v>
      </c>
      <c r="Q192">
        <v>100</v>
      </c>
      <c r="X192">
        <v>1.77</v>
      </c>
      <c r="Y192">
        <v>173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6</v>
      </c>
      <c r="AG192">
        <v>1.77</v>
      </c>
      <c r="AH192">
        <v>2</v>
      </c>
      <c r="AI192">
        <v>16810588</v>
      </c>
      <c r="AJ192">
        <v>207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ROW(Source!A136)</f>
        <v>136</v>
      </c>
      <c r="B193">
        <v>16810606</v>
      </c>
      <c r="C193">
        <v>16810580</v>
      </c>
      <c r="D193">
        <v>15162565</v>
      </c>
      <c r="E193">
        <v>17</v>
      </c>
      <c r="F193">
        <v>1</v>
      </c>
      <c r="G193">
        <v>1</v>
      </c>
      <c r="H193">
        <v>3</v>
      </c>
      <c r="I193" t="s">
        <v>393</v>
      </c>
      <c r="J193" t="s">
        <v>6</v>
      </c>
      <c r="K193" t="s">
        <v>394</v>
      </c>
      <c r="L193">
        <v>1301</v>
      </c>
      <c r="N193">
        <v>1003</v>
      </c>
      <c r="O193" t="s">
        <v>202</v>
      </c>
      <c r="P193" t="s">
        <v>202</v>
      </c>
      <c r="Q193">
        <v>1</v>
      </c>
      <c r="X193">
        <v>126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 t="s">
        <v>6</v>
      </c>
      <c r="AG193">
        <v>126</v>
      </c>
      <c r="AH193">
        <v>2</v>
      </c>
      <c r="AI193">
        <v>16810589</v>
      </c>
      <c r="AJ193">
        <v>208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ROW(Source!A136)</f>
        <v>136</v>
      </c>
      <c r="B194">
        <v>16810607</v>
      </c>
      <c r="C194">
        <v>16810580</v>
      </c>
      <c r="D194">
        <v>15170155</v>
      </c>
      <c r="E194">
        <v>1</v>
      </c>
      <c r="F194">
        <v>1</v>
      </c>
      <c r="G194">
        <v>1</v>
      </c>
      <c r="H194">
        <v>3</v>
      </c>
      <c r="I194" t="s">
        <v>894</v>
      </c>
      <c r="J194" t="s">
        <v>895</v>
      </c>
      <c r="K194" t="s">
        <v>896</v>
      </c>
      <c r="L194">
        <v>1355</v>
      </c>
      <c r="N194">
        <v>1010</v>
      </c>
      <c r="O194" t="s">
        <v>326</v>
      </c>
      <c r="P194" t="s">
        <v>326</v>
      </c>
      <c r="Q194">
        <v>100</v>
      </c>
      <c r="X194">
        <v>1.69</v>
      </c>
      <c r="Y194">
        <v>8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6</v>
      </c>
      <c r="AG194">
        <v>1.69</v>
      </c>
      <c r="AH194">
        <v>2</v>
      </c>
      <c r="AI194">
        <v>16810590</v>
      </c>
      <c r="AJ194">
        <v>209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ROW(Source!A136)</f>
        <v>136</v>
      </c>
      <c r="B195">
        <v>16810608</v>
      </c>
      <c r="C195">
        <v>16810580</v>
      </c>
      <c r="D195">
        <v>15170385</v>
      </c>
      <c r="E195">
        <v>1</v>
      </c>
      <c r="F195">
        <v>1</v>
      </c>
      <c r="G195">
        <v>1</v>
      </c>
      <c r="H195">
        <v>3</v>
      </c>
      <c r="I195" t="s">
        <v>897</v>
      </c>
      <c r="J195" t="s">
        <v>898</v>
      </c>
      <c r="K195" t="s">
        <v>899</v>
      </c>
      <c r="L195">
        <v>1355</v>
      </c>
      <c r="N195">
        <v>1010</v>
      </c>
      <c r="O195" t="s">
        <v>326</v>
      </c>
      <c r="P195" t="s">
        <v>326</v>
      </c>
      <c r="Q195">
        <v>100</v>
      </c>
      <c r="X195">
        <v>13.53</v>
      </c>
      <c r="Y195">
        <v>2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6</v>
      </c>
      <c r="AG195">
        <v>13.53</v>
      </c>
      <c r="AH195">
        <v>2</v>
      </c>
      <c r="AI195">
        <v>16810591</v>
      </c>
      <c r="AJ195">
        <v>210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ROW(Source!A136)</f>
        <v>136</v>
      </c>
      <c r="B196">
        <v>16810609</v>
      </c>
      <c r="C196">
        <v>16810580</v>
      </c>
      <c r="D196">
        <v>15170386</v>
      </c>
      <c r="E196">
        <v>1</v>
      </c>
      <c r="F196">
        <v>1</v>
      </c>
      <c r="G196">
        <v>1</v>
      </c>
      <c r="H196">
        <v>3</v>
      </c>
      <c r="I196" t="s">
        <v>900</v>
      </c>
      <c r="J196" t="s">
        <v>901</v>
      </c>
      <c r="K196" t="s">
        <v>902</v>
      </c>
      <c r="L196">
        <v>1355</v>
      </c>
      <c r="N196">
        <v>1010</v>
      </c>
      <c r="O196" t="s">
        <v>326</v>
      </c>
      <c r="P196" t="s">
        <v>326</v>
      </c>
      <c r="Q196">
        <v>100</v>
      </c>
      <c r="X196">
        <v>35.33</v>
      </c>
      <c r="Y196">
        <v>3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6</v>
      </c>
      <c r="AG196">
        <v>35.33</v>
      </c>
      <c r="AH196">
        <v>2</v>
      </c>
      <c r="AI196">
        <v>16810592</v>
      </c>
      <c r="AJ196">
        <v>211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ROW(Source!A136)</f>
        <v>136</v>
      </c>
      <c r="B197">
        <v>16810610</v>
      </c>
      <c r="C197">
        <v>16810580</v>
      </c>
      <c r="D197">
        <v>15162556</v>
      </c>
      <c r="E197">
        <v>17</v>
      </c>
      <c r="F197">
        <v>1</v>
      </c>
      <c r="G197">
        <v>1</v>
      </c>
      <c r="H197">
        <v>3</v>
      </c>
      <c r="I197" t="s">
        <v>396</v>
      </c>
      <c r="J197" t="s">
        <v>6</v>
      </c>
      <c r="K197" t="s">
        <v>397</v>
      </c>
      <c r="L197">
        <v>1301</v>
      </c>
      <c r="N197">
        <v>1003</v>
      </c>
      <c r="O197" t="s">
        <v>202</v>
      </c>
      <c r="P197" t="s">
        <v>202</v>
      </c>
      <c r="Q197">
        <v>1</v>
      </c>
      <c r="X197">
        <v>76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 t="s">
        <v>6</v>
      </c>
      <c r="AG197">
        <v>76</v>
      </c>
      <c r="AH197">
        <v>2</v>
      </c>
      <c r="AI197">
        <v>16810593</v>
      </c>
      <c r="AJ197">
        <v>212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ROW(Source!A136)</f>
        <v>136</v>
      </c>
      <c r="B198">
        <v>16810611</v>
      </c>
      <c r="C198">
        <v>16810580</v>
      </c>
      <c r="D198">
        <v>15162557</v>
      </c>
      <c r="E198">
        <v>17</v>
      </c>
      <c r="F198">
        <v>1</v>
      </c>
      <c r="G198">
        <v>1</v>
      </c>
      <c r="H198">
        <v>3</v>
      </c>
      <c r="I198" t="s">
        <v>396</v>
      </c>
      <c r="J198" t="s">
        <v>6</v>
      </c>
      <c r="K198" t="s">
        <v>407</v>
      </c>
      <c r="L198">
        <v>1301</v>
      </c>
      <c r="N198">
        <v>1003</v>
      </c>
      <c r="O198" t="s">
        <v>202</v>
      </c>
      <c r="P198" t="s">
        <v>202</v>
      </c>
      <c r="Q198">
        <v>1</v>
      </c>
      <c r="X198">
        <v>204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 t="s">
        <v>6</v>
      </c>
      <c r="AG198">
        <v>204</v>
      </c>
      <c r="AH198">
        <v>2</v>
      </c>
      <c r="AI198">
        <v>16810594</v>
      </c>
      <c r="AJ198">
        <v>213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ROW(Source!A136)</f>
        <v>136</v>
      </c>
      <c r="B199">
        <v>16810612</v>
      </c>
      <c r="C199">
        <v>16810580</v>
      </c>
      <c r="D199">
        <v>15162592</v>
      </c>
      <c r="E199">
        <v>17</v>
      </c>
      <c r="F199">
        <v>1</v>
      </c>
      <c r="G199">
        <v>1</v>
      </c>
      <c r="H199">
        <v>3</v>
      </c>
      <c r="I199" t="s">
        <v>1037</v>
      </c>
      <c r="J199" t="s">
        <v>6</v>
      </c>
      <c r="K199" t="s">
        <v>1038</v>
      </c>
      <c r="L199">
        <v>1327</v>
      </c>
      <c r="N199">
        <v>1005</v>
      </c>
      <c r="O199" t="s">
        <v>190</v>
      </c>
      <c r="P199" t="s">
        <v>190</v>
      </c>
      <c r="Q199">
        <v>1</v>
      </c>
      <c r="X199">
        <v>103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 t="s">
        <v>6</v>
      </c>
      <c r="AG199">
        <v>103</v>
      </c>
      <c r="AH199">
        <v>3</v>
      </c>
      <c r="AI199">
        <v>-1</v>
      </c>
      <c r="AJ199" t="s">
        <v>6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ROW(Source!A136)</f>
        <v>136</v>
      </c>
      <c r="B200">
        <v>16810613</v>
      </c>
      <c r="C200">
        <v>16810580</v>
      </c>
      <c r="D200">
        <v>15203471</v>
      </c>
      <c r="E200">
        <v>1</v>
      </c>
      <c r="F200">
        <v>1</v>
      </c>
      <c r="G200">
        <v>1</v>
      </c>
      <c r="H200">
        <v>3</v>
      </c>
      <c r="I200" t="s">
        <v>903</v>
      </c>
      <c r="J200" t="s">
        <v>904</v>
      </c>
      <c r="K200" t="s">
        <v>905</v>
      </c>
      <c r="L200">
        <v>1346</v>
      </c>
      <c r="N200">
        <v>1009</v>
      </c>
      <c r="O200" t="s">
        <v>300</v>
      </c>
      <c r="P200" t="s">
        <v>300</v>
      </c>
      <c r="Q200">
        <v>1</v>
      </c>
      <c r="X200">
        <v>20</v>
      </c>
      <c r="Y200">
        <v>13.08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6</v>
      </c>
      <c r="AG200">
        <v>20</v>
      </c>
      <c r="AH200">
        <v>2</v>
      </c>
      <c r="AI200">
        <v>16810597</v>
      </c>
      <c r="AJ200">
        <v>216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ROW(Source!A136)</f>
        <v>136</v>
      </c>
      <c r="B201">
        <v>16810614</v>
      </c>
      <c r="C201">
        <v>16810580</v>
      </c>
      <c r="D201">
        <v>15204745</v>
      </c>
      <c r="E201">
        <v>1</v>
      </c>
      <c r="F201">
        <v>1</v>
      </c>
      <c r="G201">
        <v>1</v>
      </c>
      <c r="H201">
        <v>3</v>
      </c>
      <c r="I201" t="s">
        <v>906</v>
      </c>
      <c r="J201" t="s">
        <v>907</v>
      </c>
      <c r="K201" t="s">
        <v>908</v>
      </c>
      <c r="L201">
        <v>1346</v>
      </c>
      <c r="N201">
        <v>1009</v>
      </c>
      <c r="O201" t="s">
        <v>300</v>
      </c>
      <c r="P201" t="s">
        <v>300</v>
      </c>
      <c r="Q201">
        <v>1</v>
      </c>
      <c r="X201">
        <v>21</v>
      </c>
      <c r="Y201">
        <v>7.46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6</v>
      </c>
      <c r="AG201">
        <v>21</v>
      </c>
      <c r="AH201">
        <v>2</v>
      </c>
      <c r="AI201">
        <v>16810598</v>
      </c>
      <c r="AJ201">
        <v>217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ROW(Source!A136)</f>
        <v>136</v>
      </c>
      <c r="B202">
        <v>16810615</v>
      </c>
      <c r="C202">
        <v>16810580</v>
      </c>
      <c r="D202">
        <v>15204748</v>
      </c>
      <c r="E202">
        <v>1</v>
      </c>
      <c r="F202">
        <v>1</v>
      </c>
      <c r="G202">
        <v>1</v>
      </c>
      <c r="H202">
        <v>3</v>
      </c>
      <c r="I202" t="s">
        <v>909</v>
      </c>
      <c r="J202" t="s">
        <v>910</v>
      </c>
      <c r="K202" t="s">
        <v>911</v>
      </c>
      <c r="L202">
        <v>1346</v>
      </c>
      <c r="N202">
        <v>1009</v>
      </c>
      <c r="O202" t="s">
        <v>300</v>
      </c>
      <c r="P202" t="s">
        <v>300</v>
      </c>
      <c r="Q202">
        <v>1</v>
      </c>
      <c r="X202">
        <v>149</v>
      </c>
      <c r="Y202">
        <v>2.7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6</v>
      </c>
      <c r="AG202">
        <v>149</v>
      </c>
      <c r="AH202">
        <v>2</v>
      </c>
      <c r="AI202">
        <v>16810599</v>
      </c>
      <c r="AJ202">
        <v>218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ROW(Source!A145)</f>
        <v>145</v>
      </c>
      <c r="B203">
        <v>16810632</v>
      </c>
      <c r="C203">
        <v>16810624</v>
      </c>
      <c r="D203">
        <v>15436014</v>
      </c>
      <c r="E203">
        <v>1</v>
      </c>
      <c r="F203">
        <v>1</v>
      </c>
      <c r="G203">
        <v>1</v>
      </c>
      <c r="H203">
        <v>1</v>
      </c>
      <c r="I203" t="s">
        <v>868</v>
      </c>
      <c r="J203" t="s">
        <v>6</v>
      </c>
      <c r="K203" t="s">
        <v>869</v>
      </c>
      <c r="L203">
        <v>1191</v>
      </c>
      <c r="N203">
        <v>1013</v>
      </c>
      <c r="O203" t="s">
        <v>708</v>
      </c>
      <c r="P203" t="s">
        <v>708</v>
      </c>
      <c r="Q203">
        <v>1</v>
      </c>
      <c r="X203">
        <v>65.94</v>
      </c>
      <c r="Y203">
        <v>0</v>
      </c>
      <c r="Z203">
        <v>0</v>
      </c>
      <c r="AA203">
        <v>0</v>
      </c>
      <c r="AB203">
        <v>8.74</v>
      </c>
      <c r="AC203">
        <v>0</v>
      </c>
      <c r="AD203">
        <v>1</v>
      </c>
      <c r="AE203">
        <v>1</v>
      </c>
      <c r="AF203" t="s">
        <v>6</v>
      </c>
      <c r="AG203">
        <v>65.94</v>
      </c>
      <c r="AH203">
        <v>2</v>
      </c>
      <c r="AI203">
        <v>16810625</v>
      </c>
      <c r="AJ203">
        <v>219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ROW(Source!A145)</f>
        <v>145</v>
      </c>
      <c r="B204">
        <v>16810633</v>
      </c>
      <c r="C204">
        <v>16810624</v>
      </c>
      <c r="D204">
        <v>15430395</v>
      </c>
      <c r="E204">
        <v>1</v>
      </c>
      <c r="F204">
        <v>1</v>
      </c>
      <c r="G204">
        <v>1</v>
      </c>
      <c r="H204">
        <v>1</v>
      </c>
      <c r="I204" t="s">
        <v>709</v>
      </c>
      <c r="J204" t="s">
        <v>6</v>
      </c>
      <c r="K204" t="s">
        <v>710</v>
      </c>
      <c r="L204">
        <v>1191</v>
      </c>
      <c r="N204">
        <v>1013</v>
      </c>
      <c r="O204" t="s">
        <v>708</v>
      </c>
      <c r="P204" t="s">
        <v>708</v>
      </c>
      <c r="Q204">
        <v>1</v>
      </c>
      <c r="X204">
        <v>0.01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2</v>
      </c>
      <c r="AF204" t="s">
        <v>6</v>
      </c>
      <c r="AG204">
        <v>0.01</v>
      </c>
      <c r="AH204">
        <v>2</v>
      </c>
      <c r="AI204">
        <v>16810626</v>
      </c>
      <c r="AJ204">
        <v>220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ROW(Source!A145)</f>
        <v>145</v>
      </c>
      <c r="B205">
        <v>16810634</v>
      </c>
      <c r="C205">
        <v>16810624</v>
      </c>
      <c r="D205">
        <v>15249073</v>
      </c>
      <c r="E205">
        <v>1</v>
      </c>
      <c r="F205">
        <v>1</v>
      </c>
      <c r="G205">
        <v>1</v>
      </c>
      <c r="H205">
        <v>2</v>
      </c>
      <c r="I205" t="s">
        <v>724</v>
      </c>
      <c r="J205" t="s">
        <v>725</v>
      </c>
      <c r="K205" t="s">
        <v>726</v>
      </c>
      <c r="L205">
        <v>1368</v>
      </c>
      <c r="N205">
        <v>1011</v>
      </c>
      <c r="O205" t="s">
        <v>714</v>
      </c>
      <c r="P205" t="s">
        <v>714</v>
      </c>
      <c r="Q205">
        <v>1</v>
      </c>
      <c r="X205">
        <v>0.01</v>
      </c>
      <c r="Y205">
        <v>0</v>
      </c>
      <c r="Z205">
        <v>65.709999999999994</v>
      </c>
      <c r="AA205">
        <v>11.6</v>
      </c>
      <c r="AB205">
        <v>0</v>
      </c>
      <c r="AC205">
        <v>0</v>
      </c>
      <c r="AD205">
        <v>1</v>
      </c>
      <c r="AE205">
        <v>0</v>
      </c>
      <c r="AF205" t="s">
        <v>6</v>
      </c>
      <c r="AG205">
        <v>0.01</v>
      </c>
      <c r="AH205">
        <v>2</v>
      </c>
      <c r="AI205">
        <v>16810627</v>
      </c>
      <c r="AJ205">
        <v>221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ROW(Source!A145)</f>
        <v>145</v>
      </c>
      <c r="B206">
        <v>16810635</v>
      </c>
      <c r="C206">
        <v>16810624</v>
      </c>
      <c r="D206">
        <v>15171018</v>
      </c>
      <c r="E206">
        <v>1</v>
      </c>
      <c r="F206">
        <v>1</v>
      </c>
      <c r="G206">
        <v>1</v>
      </c>
      <c r="H206">
        <v>3</v>
      </c>
      <c r="I206" t="s">
        <v>833</v>
      </c>
      <c r="J206" t="s">
        <v>834</v>
      </c>
      <c r="K206" t="s">
        <v>835</v>
      </c>
      <c r="L206">
        <v>1346</v>
      </c>
      <c r="N206">
        <v>1009</v>
      </c>
      <c r="O206" t="s">
        <v>300</v>
      </c>
      <c r="P206" t="s">
        <v>300</v>
      </c>
      <c r="Q206">
        <v>1</v>
      </c>
      <c r="X206">
        <v>0.1</v>
      </c>
      <c r="Y206">
        <v>1.82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6</v>
      </c>
      <c r="AG206">
        <v>0.1</v>
      </c>
      <c r="AH206">
        <v>2</v>
      </c>
      <c r="AI206">
        <v>16810628</v>
      </c>
      <c r="AJ206">
        <v>222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ROW(Source!A145)</f>
        <v>145</v>
      </c>
      <c r="B207">
        <v>16810636</v>
      </c>
      <c r="C207">
        <v>16810624</v>
      </c>
      <c r="D207">
        <v>15163068</v>
      </c>
      <c r="E207">
        <v>17</v>
      </c>
      <c r="F207">
        <v>1</v>
      </c>
      <c r="G207">
        <v>1</v>
      </c>
      <c r="H207">
        <v>3</v>
      </c>
      <c r="I207" t="s">
        <v>413</v>
      </c>
      <c r="J207" t="s">
        <v>6</v>
      </c>
      <c r="K207" t="s">
        <v>414</v>
      </c>
      <c r="L207">
        <v>1348</v>
      </c>
      <c r="N207">
        <v>1009</v>
      </c>
      <c r="O207" t="s">
        <v>104</v>
      </c>
      <c r="P207" t="s">
        <v>104</v>
      </c>
      <c r="Q207">
        <v>1000</v>
      </c>
      <c r="X207">
        <v>1.61E-2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 t="s">
        <v>6</v>
      </c>
      <c r="AG207">
        <v>1.61E-2</v>
      </c>
      <c r="AH207">
        <v>2</v>
      </c>
      <c r="AI207">
        <v>16810629</v>
      </c>
      <c r="AJ207">
        <v>223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ROW(Source!A145)</f>
        <v>145</v>
      </c>
      <c r="B208">
        <v>16810637</v>
      </c>
      <c r="C208">
        <v>16810624</v>
      </c>
      <c r="D208">
        <v>15204468</v>
      </c>
      <c r="E208">
        <v>1</v>
      </c>
      <c r="F208">
        <v>1</v>
      </c>
      <c r="G208">
        <v>1</v>
      </c>
      <c r="H208">
        <v>3</v>
      </c>
      <c r="I208" t="s">
        <v>912</v>
      </c>
      <c r="J208" t="s">
        <v>913</v>
      </c>
      <c r="K208" t="s">
        <v>914</v>
      </c>
      <c r="L208">
        <v>1348</v>
      </c>
      <c r="N208">
        <v>1009</v>
      </c>
      <c r="O208" t="s">
        <v>104</v>
      </c>
      <c r="P208" t="s">
        <v>104</v>
      </c>
      <c r="Q208">
        <v>1000</v>
      </c>
      <c r="X208">
        <v>8.9999999999999993E-3</v>
      </c>
      <c r="Y208">
        <v>16950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6</v>
      </c>
      <c r="AG208">
        <v>8.9999999999999993E-3</v>
      </c>
      <c r="AH208">
        <v>2</v>
      </c>
      <c r="AI208">
        <v>16810631</v>
      </c>
      <c r="AJ208">
        <v>225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ROW(Source!A148)</f>
        <v>148</v>
      </c>
      <c r="B209">
        <v>16810649</v>
      </c>
      <c r="C209">
        <v>16810640</v>
      </c>
      <c r="D209">
        <v>15430447</v>
      </c>
      <c r="E209">
        <v>1</v>
      </c>
      <c r="F209">
        <v>1</v>
      </c>
      <c r="G209">
        <v>1</v>
      </c>
      <c r="H209">
        <v>1</v>
      </c>
      <c r="I209" t="s">
        <v>765</v>
      </c>
      <c r="J209" t="s">
        <v>6</v>
      </c>
      <c r="K209" t="s">
        <v>766</v>
      </c>
      <c r="L209">
        <v>1191</v>
      </c>
      <c r="N209">
        <v>1013</v>
      </c>
      <c r="O209" t="s">
        <v>708</v>
      </c>
      <c r="P209" t="s">
        <v>708</v>
      </c>
      <c r="Q209">
        <v>1</v>
      </c>
      <c r="X209">
        <v>3.83</v>
      </c>
      <c r="Y209">
        <v>0</v>
      </c>
      <c r="Z209">
        <v>0</v>
      </c>
      <c r="AA209">
        <v>0</v>
      </c>
      <c r="AB209">
        <v>9.07</v>
      </c>
      <c r="AC209">
        <v>0</v>
      </c>
      <c r="AD209">
        <v>1</v>
      </c>
      <c r="AE209">
        <v>1</v>
      </c>
      <c r="AF209" t="s">
        <v>175</v>
      </c>
      <c r="AG209">
        <v>5.2853999999999992</v>
      </c>
      <c r="AH209">
        <v>2</v>
      </c>
      <c r="AI209">
        <v>16810641</v>
      </c>
      <c r="AJ209">
        <v>226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ROW(Source!A148)</f>
        <v>148</v>
      </c>
      <c r="B210">
        <v>16810650</v>
      </c>
      <c r="C210">
        <v>16810640</v>
      </c>
      <c r="D210">
        <v>15430395</v>
      </c>
      <c r="E210">
        <v>1</v>
      </c>
      <c r="F210">
        <v>1</v>
      </c>
      <c r="G210">
        <v>1</v>
      </c>
      <c r="H210">
        <v>1</v>
      </c>
      <c r="I210" t="s">
        <v>709</v>
      </c>
      <c r="J210" t="s">
        <v>6</v>
      </c>
      <c r="K210" t="s">
        <v>710</v>
      </c>
      <c r="L210">
        <v>1191</v>
      </c>
      <c r="N210">
        <v>1013</v>
      </c>
      <c r="O210" t="s">
        <v>708</v>
      </c>
      <c r="P210" t="s">
        <v>708</v>
      </c>
      <c r="Q210">
        <v>1</v>
      </c>
      <c r="X210">
        <v>0.02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2</v>
      </c>
      <c r="AF210" t="s">
        <v>174</v>
      </c>
      <c r="AG210">
        <v>0.03</v>
      </c>
      <c r="AH210">
        <v>2</v>
      </c>
      <c r="AI210">
        <v>16810642</v>
      </c>
      <c r="AJ210">
        <v>227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ROW(Source!A148)</f>
        <v>148</v>
      </c>
      <c r="B211">
        <v>16810651</v>
      </c>
      <c r="C211">
        <v>16810640</v>
      </c>
      <c r="D211">
        <v>15247878</v>
      </c>
      <c r="E211">
        <v>1</v>
      </c>
      <c r="F211">
        <v>1</v>
      </c>
      <c r="G211">
        <v>1</v>
      </c>
      <c r="H211">
        <v>2</v>
      </c>
      <c r="I211" t="s">
        <v>915</v>
      </c>
      <c r="J211" t="s">
        <v>916</v>
      </c>
      <c r="K211" t="s">
        <v>917</v>
      </c>
      <c r="L211">
        <v>1368</v>
      </c>
      <c r="N211">
        <v>1011</v>
      </c>
      <c r="O211" t="s">
        <v>714</v>
      </c>
      <c r="P211" t="s">
        <v>714</v>
      </c>
      <c r="Q211">
        <v>1</v>
      </c>
      <c r="X211">
        <v>0.01</v>
      </c>
      <c r="Y211">
        <v>0</v>
      </c>
      <c r="Z211">
        <v>1.7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174</v>
      </c>
      <c r="AG211">
        <v>1.4999999999999999E-2</v>
      </c>
      <c r="AH211">
        <v>2</v>
      </c>
      <c r="AI211">
        <v>16810643</v>
      </c>
      <c r="AJ211">
        <v>228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ROW(Source!A148)</f>
        <v>148</v>
      </c>
      <c r="B212">
        <v>16810652</v>
      </c>
      <c r="C212">
        <v>16810640</v>
      </c>
      <c r="D212">
        <v>15247905</v>
      </c>
      <c r="E212">
        <v>1</v>
      </c>
      <c r="F212">
        <v>1</v>
      </c>
      <c r="G212">
        <v>1</v>
      </c>
      <c r="H212">
        <v>2</v>
      </c>
      <c r="I212" t="s">
        <v>870</v>
      </c>
      <c r="J212" t="s">
        <v>871</v>
      </c>
      <c r="K212" t="s">
        <v>872</v>
      </c>
      <c r="L212">
        <v>1368</v>
      </c>
      <c r="N212">
        <v>1011</v>
      </c>
      <c r="O212" t="s">
        <v>714</v>
      </c>
      <c r="P212" t="s">
        <v>714</v>
      </c>
      <c r="Q212">
        <v>1</v>
      </c>
      <c r="X212">
        <v>0.01</v>
      </c>
      <c r="Y212">
        <v>0</v>
      </c>
      <c r="Z212">
        <v>89.99</v>
      </c>
      <c r="AA212">
        <v>10.06</v>
      </c>
      <c r="AB212">
        <v>0</v>
      </c>
      <c r="AC212">
        <v>0</v>
      </c>
      <c r="AD212">
        <v>1</v>
      </c>
      <c r="AE212">
        <v>0</v>
      </c>
      <c r="AF212" t="s">
        <v>174</v>
      </c>
      <c r="AG212">
        <v>1.4999999999999999E-2</v>
      </c>
      <c r="AH212">
        <v>2</v>
      </c>
      <c r="AI212">
        <v>16810644</v>
      </c>
      <c r="AJ212">
        <v>229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ROW(Source!A148)</f>
        <v>148</v>
      </c>
      <c r="B213">
        <v>16810653</v>
      </c>
      <c r="C213">
        <v>16810640</v>
      </c>
      <c r="D213">
        <v>15249073</v>
      </c>
      <c r="E213">
        <v>1</v>
      </c>
      <c r="F213">
        <v>1</v>
      </c>
      <c r="G213">
        <v>1</v>
      </c>
      <c r="H213">
        <v>2</v>
      </c>
      <c r="I213" t="s">
        <v>724</v>
      </c>
      <c r="J213" t="s">
        <v>725</v>
      </c>
      <c r="K213" t="s">
        <v>726</v>
      </c>
      <c r="L213">
        <v>1368</v>
      </c>
      <c r="N213">
        <v>1011</v>
      </c>
      <c r="O213" t="s">
        <v>714</v>
      </c>
      <c r="P213" t="s">
        <v>714</v>
      </c>
      <c r="Q213">
        <v>1</v>
      </c>
      <c r="X213">
        <v>0.01</v>
      </c>
      <c r="Y213">
        <v>0</v>
      </c>
      <c r="Z213">
        <v>65.709999999999994</v>
      </c>
      <c r="AA213">
        <v>11.6</v>
      </c>
      <c r="AB213">
        <v>0</v>
      </c>
      <c r="AC213">
        <v>0</v>
      </c>
      <c r="AD213">
        <v>1</v>
      </c>
      <c r="AE213">
        <v>0</v>
      </c>
      <c r="AF213" t="s">
        <v>174</v>
      </c>
      <c r="AG213">
        <v>1.4999999999999999E-2</v>
      </c>
      <c r="AH213">
        <v>2</v>
      </c>
      <c r="AI213">
        <v>16810645</v>
      </c>
      <c r="AJ213">
        <v>230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ROW(Source!A148)</f>
        <v>148</v>
      </c>
      <c r="B214">
        <v>16810654</v>
      </c>
      <c r="C214">
        <v>16810640</v>
      </c>
      <c r="D214">
        <v>15249933</v>
      </c>
      <c r="E214">
        <v>1</v>
      </c>
      <c r="F214">
        <v>1</v>
      </c>
      <c r="G214">
        <v>1</v>
      </c>
      <c r="H214">
        <v>2</v>
      </c>
      <c r="I214" t="s">
        <v>918</v>
      </c>
      <c r="J214" t="s">
        <v>919</v>
      </c>
      <c r="K214" t="s">
        <v>920</v>
      </c>
      <c r="L214">
        <v>1368</v>
      </c>
      <c r="N214">
        <v>1011</v>
      </c>
      <c r="O214" t="s">
        <v>714</v>
      </c>
      <c r="P214" t="s">
        <v>714</v>
      </c>
      <c r="Q214">
        <v>1</v>
      </c>
      <c r="X214">
        <v>0.65</v>
      </c>
      <c r="Y214">
        <v>0</v>
      </c>
      <c r="Z214">
        <v>6.82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174</v>
      </c>
      <c r="AG214">
        <v>0.97499999999999998</v>
      </c>
      <c r="AH214">
        <v>2</v>
      </c>
      <c r="AI214">
        <v>16810646</v>
      </c>
      <c r="AJ214">
        <v>231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ROW(Source!A148)</f>
        <v>148</v>
      </c>
      <c r="B215">
        <v>16810655</v>
      </c>
      <c r="C215">
        <v>16810640</v>
      </c>
      <c r="D215">
        <v>15204063</v>
      </c>
      <c r="E215">
        <v>1</v>
      </c>
      <c r="F215">
        <v>1</v>
      </c>
      <c r="G215">
        <v>1</v>
      </c>
      <c r="H215">
        <v>3</v>
      </c>
      <c r="I215" t="s">
        <v>921</v>
      </c>
      <c r="J215" t="s">
        <v>922</v>
      </c>
      <c r="K215" t="s">
        <v>923</v>
      </c>
      <c r="L215">
        <v>1348</v>
      </c>
      <c r="N215">
        <v>1009</v>
      </c>
      <c r="O215" t="s">
        <v>104</v>
      </c>
      <c r="P215" t="s">
        <v>104</v>
      </c>
      <c r="Q215">
        <v>1000</v>
      </c>
      <c r="X215">
        <v>1.9E-2</v>
      </c>
      <c r="Y215">
        <v>14312.87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6</v>
      </c>
      <c r="AG215">
        <v>1.9E-2</v>
      </c>
      <c r="AH215">
        <v>2</v>
      </c>
      <c r="AI215">
        <v>16810647</v>
      </c>
      <c r="AJ215">
        <v>232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ROW(Source!A148)</f>
        <v>148</v>
      </c>
      <c r="B216">
        <v>16810656</v>
      </c>
      <c r="C216">
        <v>16810640</v>
      </c>
      <c r="D216">
        <v>15204703</v>
      </c>
      <c r="E216">
        <v>1</v>
      </c>
      <c r="F216">
        <v>1</v>
      </c>
      <c r="G216">
        <v>1</v>
      </c>
      <c r="H216">
        <v>3</v>
      </c>
      <c r="I216" t="s">
        <v>924</v>
      </c>
      <c r="J216" t="s">
        <v>925</v>
      </c>
      <c r="K216" t="s">
        <v>926</v>
      </c>
      <c r="L216">
        <v>1348</v>
      </c>
      <c r="N216">
        <v>1009</v>
      </c>
      <c r="O216" t="s">
        <v>104</v>
      </c>
      <c r="P216" t="s">
        <v>104</v>
      </c>
      <c r="Q216">
        <v>1000</v>
      </c>
      <c r="X216">
        <v>1.4E-3</v>
      </c>
      <c r="Y216">
        <v>6667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6</v>
      </c>
      <c r="AG216">
        <v>1.4E-3</v>
      </c>
      <c r="AH216">
        <v>2</v>
      </c>
      <c r="AI216">
        <v>16810648</v>
      </c>
      <c r="AJ216">
        <v>233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ROW(Source!A185)</f>
        <v>185</v>
      </c>
      <c r="B217">
        <v>16808872</v>
      </c>
      <c r="C217">
        <v>16808866</v>
      </c>
      <c r="D217">
        <v>15430447</v>
      </c>
      <c r="E217">
        <v>1</v>
      </c>
      <c r="F217">
        <v>1</v>
      </c>
      <c r="G217">
        <v>1</v>
      </c>
      <c r="H217">
        <v>1</v>
      </c>
      <c r="I217" t="s">
        <v>765</v>
      </c>
      <c r="J217" t="s">
        <v>6</v>
      </c>
      <c r="K217" t="s">
        <v>766</v>
      </c>
      <c r="L217">
        <v>1191</v>
      </c>
      <c r="N217">
        <v>1013</v>
      </c>
      <c r="O217" t="s">
        <v>708</v>
      </c>
      <c r="P217" t="s">
        <v>708</v>
      </c>
      <c r="Q217">
        <v>1</v>
      </c>
      <c r="X217">
        <v>2</v>
      </c>
      <c r="Y217">
        <v>0</v>
      </c>
      <c r="Z217">
        <v>0</v>
      </c>
      <c r="AA217">
        <v>0</v>
      </c>
      <c r="AB217">
        <v>9.07</v>
      </c>
      <c r="AC217">
        <v>0</v>
      </c>
      <c r="AD217">
        <v>1</v>
      </c>
      <c r="AE217">
        <v>1</v>
      </c>
      <c r="AF217" t="s">
        <v>443</v>
      </c>
      <c r="AG217">
        <v>2.4</v>
      </c>
      <c r="AH217">
        <v>2</v>
      </c>
      <c r="AI217">
        <v>16808867</v>
      </c>
      <c r="AJ217">
        <v>234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ROW(Source!A185)</f>
        <v>185</v>
      </c>
      <c r="B218">
        <v>16808873</v>
      </c>
      <c r="C218">
        <v>16808866</v>
      </c>
      <c r="D218">
        <v>15167589</v>
      </c>
      <c r="E218">
        <v>1</v>
      </c>
      <c r="F218">
        <v>1</v>
      </c>
      <c r="G218">
        <v>1</v>
      </c>
      <c r="H218">
        <v>3</v>
      </c>
      <c r="I218" t="s">
        <v>767</v>
      </c>
      <c r="J218" t="s">
        <v>768</v>
      </c>
      <c r="K218" t="s">
        <v>769</v>
      </c>
      <c r="L218">
        <v>1346</v>
      </c>
      <c r="N218">
        <v>1009</v>
      </c>
      <c r="O218" t="s">
        <v>300</v>
      </c>
      <c r="P218" t="s">
        <v>300</v>
      </c>
      <c r="Q218">
        <v>1</v>
      </c>
      <c r="X218">
        <v>1.4999999999999999E-2</v>
      </c>
      <c r="Y218">
        <v>91.29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6</v>
      </c>
      <c r="AG218">
        <v>1.4999999999999999E-2</v>
      </c>
      <c r="AH218">
        <v>2</v>
      </c>
      <c r="AI218">
        <v>16808868</v>
      </c>
      <c r="AJ218">
        <v>235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ROW(Source!A185)</f>
        <v>185</v>
      </c>
      <c r="B219">
        <v>16808874</v>
      </c>
      <c r="C219">
        <v>16808866</v>
      </c>
      <c r="D219">
        <v>15225559</v>
      </c>
      <c r="E219">
        <v>1</v>
      </c>
      <c r="F219">
        <v>1</v>
      </c>
      <c r="G219">
        <v>1</v>
      </c>
      <c r="H219">
        <v>3</v>
      </c>
      <c r="I219" t="s">
        <v>770</v>
      </c>
      <c r="J219" t="s">
        <v>771</v>
      </c>
      <c r="K219" t="s">
        <v>772</v>
      </c>
      <c r="L219">
        <v>1477</v>
      </c>
      <c r="N219">
        <v>1013</v>
      </c>
      <c r="O219" t="s">
        <v>463</v>
      </c>
      <c r="P219" t="s">
        <v>465</v>
      </c>
      <c r="Q219">
        <v>1</v>
      </c>
      <c r="X219">
        <v>5.0000000000000001E-3</v>
      </c>
      <c r="Y219">
        <v>1819.3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6</v>
      </c>
      <c r="AG219">
        <v>5.0000000000000001E-3</v>
      </c>
      <c r="AH219">
        <v>2</v>
      </c>
      <c r="AI219">
        <v>16808869</v>
      </c>
      <c r="AJ219">
        <v>236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ROW(Source!A185)</f>
        <v>185</v>
      </c>
      <c r="B220">
        <v>16808875</v>
      </c>
      <c r="C220">
        <v>16808866</v>
      </c>
      <c r="D220">
        <v>15226127</v>
      </c>
      <c r="E220">
        <v>1</v>
      </c>
      <c r="F220">
        <v>1</v>
      </c>
      <c r="G220">
        <v>1</v>
      </c>
      <c r="H220">
        <v>3</v>
      </c>
      <c r="I220" t="s">
        <v>773</v>
      </c>
      <c r="J220" t="s">
        <v>774</v>
      </c>
      <c r="K220" t="s">
        <v>775</v>
      </c>
      <c r="L220">
        <v>1355</v>
      </c>
      <c r="N220">
        <v>1010</v>
      </c>
      <c r="O220" t="s">
        <v>326</v>
      </c>
      <c r="P220" t="s">
        <v>326</v>
      </c>
      <c r="Q220">
        <v>100</v>
      </c>
      <c r="X220">
        <v>1.0999999999999999E-2</v>
      </c>
      <c r="Y220">
        <v>164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6</v>
      </c>
      <c r="AG220">
        <v>1.0999999999999999E-2</v>
      </c>
      <c r="AH220">
        <v>2</v>
      </c>
      <c r="AI220">
        <v>16808870</v>
      </c>
      <c r="AJ220">
        <v>237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ROW(Source!A185)</f>
        <v>185</v>
      </c>
      <c r="B221">
        <v>16808876</v>
      </c>
      <c r="C221">
        <v>16808866</v>
      </c>
      <c r="D221">
        <v>15164559</v>
      </c>
      <c r="E221">
        <v>17</v>
      </c>
      <c r="F221">
        <v>1</v>
      </c>
      <c r="G221">
        <v>1</v>
      </c>
      <c r="H221">
        <v>3</v>
      </c>
      <c r="I221" t="s">
        <v>736</v>
      </c>
      <c r="J221" t="s">
        <v>6</v>
      </c>
      <c r="K221" t="s">
        <v>737</v>
      </c>
      <c r="L221">
        <v>1374</v>
      </c>
      <c r="N221">
        <v>1013</v>
      </c>
      <c r="O221" t="s">
        <v>738</v>
      </c>
      <c r="P221" t="s">
        <v>738</v>
      </c>
      <c r="Q221">
        <v>1</v>
      </c>
      <c r="X221">
        <v>0.36</v>
      </c>
      <c r="Y221">
        <v>1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6</v>
      </c>
      <c r="AG221">
        <v>0.36</v>
      </c>
      <c r="AH221">
        <v>2</v>
      </c>
      <c r="AI221">
        <v>16808871</v>
      </c>
      <c r="AJ221">
        <v>238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ROW(Source!A186)</f>
        <v>186</v>
      </c>
      <c r="B222">
        <v>16808886</v>
      </c>
      <c r="C222">
        <v>16808878</v>
      </c>
      <c r="D222">
        <v>15436556</v>
      </c>
      <c r="E222">
        <v>1</v>
      </c>
      <c r="F222">
        <v>1</v>
      </c>
      <c r="G222">
        <v>1</v>
      </c>
      <c r="H222">
        <v>1</v>
      </c>
      <c r="I222" t="s">
        <v>748</v>
      </c>
      <c r="J222" t="s">
        <v>6</v>
      </c>
      <c r="K222" t="s">
        <v>749</v>
      </c>
      <c r="L222">
        <v>1191</v>
      </c>
      <c r="N222">
        <v>1013</v>
      </c>
      <c r="O222" t="s">
        <v>708</v>
      </c>
      <c r="P222" t="s">
        <v>708</v>
      </c>
      <c r="Q222">
        <v>1</v>
      </c>
      <c r="X222">
        <v>0.84</v>
      </c>
      <c r="Y222">
        <v>0</v>
      </c>
      <c r="Z222">
        <v>0</v>
      </c>
      <c r="AA222">
        <v>0</v>
      </c>
      <c r="AB222">
        <v>9.6199999999999992</v>
      </c>
      <c r="AC222">
        <v>0</v>
      </c>
      <c r="AD222">
        <v>1</v>
      </c>
      <c r="AE222">
        <v>1</v>
      </c>
      <c r="AF222" t="s">
        <v>443</v>
      </c>
      <c r="AG222">
        <v>1.008</v>
      </c>
      <c r="AH222">
        <v>2</v>
      </c>
      <c r="AI222">
        <v>16808879</v>
      </c>
      <c r="AJ222">
        <v>239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ROW(Source!A186)</f>
        <v>186</v>
      </c>
      <c r="B223">
        <v>16808887</v>
      </c>
      <c r="C223">
        <v>16808878</v>
      </c>
      <c r="D223">
        <v>15165918</v>
      </c>
      <c r="E223">
        <v>1</v>
      </c>
      <c r="F223">
        <v>1</v>
      </c>
      <c r="G223">
        <v>1</v>
      </c>
      <c r="H223">
        <v>3</v>
      </c>
      <c r="I223" t="s">
        <v>750</v>
      </c>
      <c r="J223" t="s">
        <v>751</v>
      </c>
      <c r="K223" t="s">
        <v>752</v>
      </c>
      <c r="L223">
        <v>1346</v>
      </c>
      <c r="N223">
        <v>1009</v>
      </c>
      <c r="O223" t="s">
        <v>300</v>
      </c>
      <c r="P223" t="s">
        <v>300</v>
      </c>
      <c r="Q223">
        <v>1</v>
      </c>
      <c r="X223">
        <v>2.0000000000000001E-4</v>
      </c>
      <c r="Y223">
        <v>27.74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6</v>
      </c>
      <c r="AG223">
        <v>2.0000000000000001E-4</v>
      </c>
      <c r="AH223">
        <v>2</v>
      </c>
      <c r="AI223">
        <v>16808880</v>
      </c>
      <c r="AJ223">
        <v>240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ROW(Source!A186)</f>
        <v>186</v>
      </c>
      <c r="B224">
        <v>16808888</v>
      </c>
      <c r="C224">
        <v>16808878</v>
      </c>
      <c r="D224">
        <v>15170072</v>
      </c>
      <c r="E224">
        <v>1</v>
      </c>
      <c r="F224">
        <v>1</v>
      </c>
      <c r="G224">
        <v>1</v>
      </c>
      <c r="H224">
        <v>3</v>
      </c>
      <c r="I224" t="s">
        <v>753</v>
      </c>
      <c r="J224" t="s">
        <v>754</v>
      </c>
      <c r="K224" t="s">
        <v>755</v>
      </c>
      <c r="L224">
        <v>1355</v>
      </c>
      <c r="N224">
        <v>1010</v>
      </c>
      <c r="O224" t="s">
        <v>326</v>
      </c>
      <c r="P224" t="s">
        <v>326</v>
      </c>
      <c r="Q224">
        <v>100</v>
      </c>
      <c r="X224">
        <v>0.01</v>
      </c>
      <c r="Y224">
        <v>83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6</v>
      </c>
      <c r="AG224">
        <v>0.01</v>
      </c>
      <c r="AH224">
        <v>2</v>
      </c>
      <c r="AI224">
        <v>16808881</v>
      </c>
      <c r="AJ224">
        <v>241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ROW(Source!A186)</f>
        <v>186</v>
      </c>
      <c r="B225">
        <v>16808889</v>
      </c>
      <c r="C225">
        <v>16808878</v>
      </c>
      <c r="D225">
        <v>15171982</v>
      </c>
      <c r="E225">
        <v>1</v>
      </c>
      <c r="F225">
        <v>1</v>
      </c>
      <c r="G225">
        <v>1</v>
      </c>
      <c r="H225">
        <v>3</v>
      </c>
      <c r="I225" t="s">
        <v>756</v>
      </c>
      <c r="J225" t="s">
        <v>757</v>
      </c>
      <c r="K225" t="s">
        <v>758</v>
      </c>
      <c r="L225">
        <v>1348</v>
      </c>
      <c r="N225">
        <v>1009</v>
      </c>
      <c r="O225" t="s">
        <v>104</v>
      </c>
      <c r="P225" t="s">
        <v>104</v>
      </c>
      <c r="Q225">
        <v>1000</v>
      </c>
      <c r="X225">
        <v>1.0000000000000001E-5</v>
      </c>
      <c r="Y225">
        <v>729.98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6</v>
      </c>
      <c r="AG225">
        <v>1.0000000000000001E-5</v>
      </c>
      <c r="AH225">
        <v>2</v>
      </c>
      <c r="AI225">
        <v>16808882</v>
      </c>
      <c r="AJ225">
        <v>242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ROW(Source!A186)</f>
        <v>186</v>
      </c>
      <c r="B226">
        <v>16808890</v>
      </c>
      <c r="C226">
        <v>16808878</v>
      </c>
      <c r="D226">
        <v>15195043</v>
      </c>
      <c r="E226">
        <v>1</v>
      </c>
      <c r="F226">
        <v>1</v>
      </c>
      <c r="G226">
        <v>1</v>
      </c>
      <c r="H226">
        <v>3</v>
      </c>
      <c r="I226" t="s">
        <v>759</v>
      </c>
      <c r="J226" t="s">
        <v>760</v>
      </c>
      <c r="K226" t="s">
        <v>761</v>
      </c>
      <c r="L226">
        <v>1346</v>
      </c>
      <c r="N226">
        <v>1009</v>
      </c>
      <c r="O226" t="s">
        <v>300</v>
      </c>
      <c r="P226" t="s">
        <v>300</v>
      </c>
      <c r="Q226">
        <v>1</v>
      </c>
      <c r="X226">
        <v>2E-3</v>
      </c>
      <c r="Y226">
        <v>65.75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6</v>
      </c>
      <c r="AG226">
        <v>2E-3</v>
      </c>
      <c r="AH226">
        <v>2</v>
      </c>
      <c r="AI226">
        <v>16808883</v>
      </c>
      <c r="AJ226">
        <v>243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ROW(Source!A186)</f>
        <v>186</v>
      </c>
      <c r="B227">
        <v>16808891</v>
      </c>
      <c r="C227">
        <v>16808878</v>
      </c>
      <c r="D227">
        <v>15202502</v>
      </c>
      <c r="E227">
        <v>1</v>
      </c>
      <c r="F227">
        <v>1</v>
      </c>
      <c r="G227">
        <v>1</v>
      </c>
      <c r="H227">
        <v>3</v>
      </c>
      <c r="I227" t="s">
        <v>762</v>
      </c>
      <c r="J227" t="s">
        <v>763</v>
      </c>
      <c r="K227" t="s">
        <v>764</v>
      </c>
      <c r="L227">
        <v>1346</v>
      </c>
      <c r="N227">
        <v>1009</v>
      </c>
      <c r="O227" t="s">
        <v>300</v>
      </c>
      <c r="P227" t="s">
        <v>300</v>
      </c>
      <c r="Q227">
        <v>1</v>
      </c>
      <c r="X227">
        <v>5.0000000000000001E-3</v>
      </c>
      <c r="Y227">
        <v>28.93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6</v>
      </c>
      <c r="AG227">
        <v>5.0000000000000001E-3</v>
      </c>
      <c r="AH227">
        <v>2</v>
      </c>
      <c r="AI227">
        <v>16808884</v>
      </c>
      <c r="AJ227">
        <v>244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ROW(Source!A186)</f>
        <v>186</v>
      </c>
      <c r="B228">
        <v>16808892</v>
      </c>
      <c r="C228">
        <v>16808878</v>
      </c>
      <c r="D228">
        <v>15164559</v>
      </c>
      <c r="E228">
        <v>17</v>
      </c>
      <c r="F228">
        <v>1</v>
      </c>
      <c r="G228">
        <v>1</v>
      </c>
      <c r="H228">
        <v>3</v>
      </c>
      <c r="I228" t="s">
        <v>736</v>
      </c>
      <c r="J228" t="s">
        <v>6</v>
      </c>
      <c r="K228" t="s">
        <v>737</v>
      </c>
      <c r="L228">
        <v>1374</v>
      </c>
      <c r="N228">
        <v>1013</v>
      </c>
      <c r="O228" t="s">
        <v>738</v>
      </c>
      <c r="P228" t="s">
        <v>738</v>
      </c>
      <c r="Q228">
        <v>1</v>
      </c>
      <c r="X228">
        <v>0.16</v>
      </c>
      <c r="Y228">
        <v>1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6</v>
      </c>
      <c r="AG228">
        <v>0.16</v>
      </c>
      <c r="AH228">
        <v>2</v>
      </c>
      <c r="AI228">
        <v>16808885</v>
      </c>
      <c r="AJ228">
        <v>245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ROW(Source!A187)</f>
        <v>187</v>
      </c>
      <c r="B229">
        <v>16808898</v>
      </c>
      <c r="C229">
        <v>16808893</v>
      </c>
      <c r="D229">
        <v>15438286</v>
      </c>
      <c r="E229">
        <v>1</v>
      </c>
      <c r="F229">
        <v>1</v>
      </c>
      <c r="G229">
        <v>1</v>
      </c>
      <c r="H229">
        <v>1</v>
      </c>
      <c r="I229" t="s">
        <v>805</v>
      </c>
      <c r="J229" t="s">
        <v>6</v>
      </c>
      <c r="K229" t="s">
        <v>806</v>
      </c>
      <c r="L229">
        <v>1191</v>
      </c>
      <c r="N229">
        <v>1013</v>
      </c>
      <c r="O229" t="s">
        <v>708</v>
      </c>
      <c r="P229" t="s">
        <v>708</v>
      </c>
      <c r="Q229">
        <v>1</v>
      </c>
      <c r="X229">
        <v>15.2</v>
      </c>
      <c r="Y229">
        <v>0</v>
      </c>
      <c r="Z229">
        <v>0</v>
      </c>
      <c r="AA229">
        <v>0</v>
      </c>
      <c r="AB229">
        <v>9.18</v>
      </c>
      <c r="AC229">
        <v>0</v>
      </c>
      <c r="AD229">
        <v>1</v>
      </c>
      <c r="AE229">
        <v>1</v>
      </c>
      <c r="AF229" t="s">
        <v>443</v>
      </c>
      <c r="AG229">
        <v>18.239999999999998</v>
      </c>
      <c r="AH229">
        <v>2</v>
      </c>
      <c r="AI229">
        <v>16808894</v>
      </c>
      <c r="AJ229">
        <v>246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ROW(Source!A187)</f>
        <v>187</v>
      </c>
      <c r="B230">
        <v>16808899</v>
      </c>
      <c r="C230">
        <v>16808893</v>
      </c>
      <c r="D230">
        <v>15170155</v>
      </c>
      <c r="E230">
        <v>1</v>
      </c>
      <c r="F230">
        <v>1</v>
      </c>
      <c r="G230">
        <v>1</v>
      </c>
      <c r="H230">
        <v>3</v>
      </c>
      <c r="I230" t="s">
        <v>894</v>
      </c>
      <c r="J230" t="s">
        <v>895</v>
      </c>
      <c r="K230" t="s">
        <v>896</v>
      </c>
      <c r="L230">
        <v>1355</v>
      </c>
      <c r="N230">
        <v>1010</v>
      </c>
      <c r="O230" t="s">
        <v>326</v>
      </c>
      <c r="P230" t="s">
        <v>326</v>
      </c>
      <c r="Q230">
        <v>100</v>
      </c>
      <c r="X230">
        <v>1.75</v>
      </c>
      <c r="Y230">
        <v>8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6</v>
      </c>
      <c r="AG230">
        <v>1.75</v>
      </c>
      <c r="AH230">
        <v>2</v>
      </c>
      <c r="AI230">
        <v>16808895</v>
      </c>
      <c r="AJ230">
        <v>247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ROW(Source!A187)</f>
        <v>187</v>
      </c>
      <c r="B231">
        <v>16808900</v>
      </c>
      <c r="C231">
        <v>16808893</v>
      </c>
      <c r="D231">
        <v>15164559</v>
      </c>
      <c r="E231">
        <v>17</v>
      </c>
      <c r="F231">
        <v>1</v>
      </c>
      <c r="G231">
        <v>1</v>
      </c>
      <c r="H231">
        <v>3</v>
      </c>
      <c r="I231" t="s">
        <v>736</v>
      </c>
      <c r="J231" t="s">
        <v>6</v>
      </c>
      <c r="K231" t="s">
        <v>737</v>
      </c>
      <c r="L231">
        <v>1374</v>
      </c>
      <c r="N231">
        <v>1013</v>
      </c>
      <c r="O231" t="s">
        <v>738</v>
      </c>
      <c r="P231" t="s">
        <v>738</v>
      </c>
      <c r="Q231">
        <v>1</v>
      </c>
      <c r="X231">
        <v>2.79</v>
      </c>
      <c r="Y231">
        <v>1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6</v>
      </c>
      <c r="AG231">
        <v>2.79</v>
      </c>
      <c r="AH231">
        <v>2</v>
      </c>
      <c r="AI231">
        <v>16808896</v>
      </c>
      <c r="AJ231">
        <v>249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ROW(Source!A189)</f>
        <v>189</v>
      </c>
      <c r="B232">
        <v>16808914</v>
      </c>
      <c r="C232">
        <v>16808902</v>
      </c>
      <c r="D232">
        <v>15430397</v>
      </c>
      <c r="E232">
        <v>1</v>
      </c>
      <c r="F232">
        <v>1</v>
      </c>
      <c r="G232">
        <v>1</v>
      </c>
      <c r="H232">
        <v>1</v>
      </c>
      <c r="I232" t="s">
        <v>927</v>
      </c>
      <c r="J232" t="s">
        <v>6</v>
      </c>
      <c r="K232" t="s">
        <v>928</v>
      </c>
      <c r="L232">
        <v>1191</v>
      </c>
      <c r="N232">
        <v>1013</v>
      </c>
      <c r="O232" t="s">
        <v>708</v>
      </c>
      <c r="P232" t="s">
        <v>708</v>
      </c>
      <c r="Q232">
        <v>1</v>
      </c>
      <c r="X232">
        <v>6.29</v>
      </c>
      <c r="Y232">
        <v>0</v>
      </c>
      <c r="Z232">
        <v>0</v>
      </c>
      <c r="AA232">
        <v>0</v>
      </c>
      <c r="AB232">
        <v>9.4</v>
      </c>
      <c r="AC232">
        <v>0</v>
      </c>
      <c r="AD232">
        <v>1</v>
      </c>
      <c r="AE232">
        <v>1</v>
      </c>
      <c r="AF232" t="s">
        <v>443</v>
      </c>
      <c r="AG232">
        <v>7.548</v>
      </c>
      <c r="AH232">
        <v>2</v>
      </c>
      <c r="AI232">
        <v>16808903</v>
      </c>
      <c r="AJ232">
        <v>250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ROW(Source!A189)</f>
        <v>189</v>
      </c>
      <c r="B233">
        <v>16808915</v>
      </c>
      <c r="C233">
        <v>16808902</v>
      </c>
      <c r="D233">
        <v>15430395</v>
      </c>
      <c r="E233">
        <v>1</v>
      </c>
      <c r="F233">
        <v>1</v>
      </c>
      <c r="G233">
        <v>1</v>
      </c>
      <c r="H233">
        <v>1</v>
      </c>
      <c r="I233" t="s">
        <v>709</v>
      </c>
      <c r="J233" t="s">
        <v>6</v>
      </c>
      <c r="K233" t="s">
        <v>710</v>
      </c>
      <c r="L233">
        <v>1191</v>
      </c>
      <c r="N233">
        <v>1013</v>
      </c>
      <c r="O233" t="s">
        <v>708</v>
      </c>
      <c r="P233" t="s">
        <v>708</v>
      </c>
      <c r="Q233">
        <v>1</v>
      </c>
      <c r="X233">
        <v>0.06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2</v>
      </c>
      <c r="AF233" t="s">
        <v>443</v>
      </c>
      <c r="AG233">
        <v>7.1999999999999995E-2</v>
      </c>
      <c r="AH233">
        <v>2</v>
      </c>
      <c r="AI233">
        <v>16808904</v>
      </c>
      <c r="AJ233">
        <v>251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ROW(Source!A189)</f>
        <v>189</v>
      </c>
      <c r="B234">
        <v>16808916</v>
      </c>
      <c r="C234">
        <v>16808902</v>
      </c>
      <c r="D234">
        <v>15247680</v>
      </c>
      <c r="E234">
        <v>1</v>
      </c>
      <c r="F234">
        <v>1</v>
      </c>
      <c r="G234">
        <v>1</v>
      </c>
      <c r="H234">
        <v>2</v>
      </c>
      <c r="I234" t="s">
        <v>721</v>
      </c>
      <c r="J234" t="s">
        <v>722</v>
      </c>
      <c r="K234" t="s">
        <v>723</v>
      </c>
      <c r="L234">
        <v>1368</v>
      </c>
      <c r="N234">
        <v>1011</v>
      </c>
      <c r="O234" t="s">
        <v>714</v>
      </c>
      <c r="P234" t="s">
        <v>714</v>
      </c>
      <c r="Q234">
        <v>1</v>
      </c>
      <c r="X234">
        <v>0.03</v>
      </c>
      <c r="Y234">
        <v>0</v>
      </c>
      <c r="Z234">
        <v>111.99</v>
      </c>
      <c r="AA234">
        <v>13.5</v>
      </c>
      <c r="AB234">
        <v>0</v>
      </c>
      <c r="AC234">
        <v>0</v>
      </c>
      <c r="AD234">
        <v>1</v>
      </c>
      <c r="AE234">
        <v>0</v>
      </c>
      <c r="AF234" t="s">
        <v>443</v>
      </c>
      <c r="AG234">
        <v>3.5999999999999997E-2</v>
      </c>
      <c r="AH234">
        <v>2</v>
      </c>
      <c r="AI234">
        <v>16808905</v>
      </c>
      <c r="AJ234">
        <v>252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ROW(Source!A189)</f>
        <v>189</v>
      </c>
      <c r="B235">
        <v>16808917</v>
      </c>
      <c r="C235">
        <v>16808902</v>
      </c>
      <c r="D235">
        <v>15249073</v>
      </c>
      <c r="E235">
        <v>1</v>
      </c>
      <c r="F235">
        <v>1</v>
      </c>
      <c r="G235">
        <v>1</v>
      </c>
      <c r="H235">
        <v>2</v>
      </c>
      <c r="I235" t="s">
        <v>724</v>
      </c>
      <c r="J235" t="s">
        <v>725</v>
      </c>
      <c r="K235" t="s">
        <v>726</v>
      </c>
      <c r="L235">
        <v>1368</v>
      </c>
      <c r="N235">
        <v>1011</v>
      </c>
      <c r="O235" t="s">
        <v>714</v>
      </c>
      <c r="P235" t="s">
        <v>714</v>
      </c>
      <c r="Q235">
        <v>1</v>
      </c>
      <c r="X235">
        <v>0.03</v>
      </c>
      <c r="Y235">
        <v>0</v>
      </c>
      <c r="Z235">
        <v>65.709999999999994</v>
      </c>
      <c r="AA235">
        <v>11.6</v>
      </c>
      <c r="AB235">
        <v>0</v>
      </c>
      <c r="AC235">
        <v>0</v>
      </c>
      <c r="AD235">
        <v>1</v>
      </c>
      <c r="AE235">
        <v>0</v>
      </c>
      <c r="AF235" t="s">
        <v>443</v>
      </c>
      <c r="AG235">
        <v>3.5999999999999997E-2</v>
      </c>
      <c r="AH235">
        <v>2</v>
      </c>
      <c r="AI235">
        <v>16808906</v>
      </c>
      <c r="AJ235">
        <v>253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ROW(Source!A189)</f>
        <v>189</v>
      </c>
      <c r="B236">
        <v>16808918</v>
      </c>
      <c r="C236">
        <v>16808902</v>
      </c>
      <c r="D236">
        <v>15167588</v>
      </c>
      <c r="E236">
        <v>1</v>
      </c>
      <c r="F236">
        <v>1</v>
      </c>
      <c r="G236">
        <v>1</v>
      </c>
      <c r="H236">
        <v>3</v>
      </c>
      <c r="I236" t="s">
        <v>727</v>
      </c>
      <c r="J236" t="s">
        <v>728</v>
      </c>
      <c r="K236" t="s">
        <v>729</v>
      </c>
      <c r="L236">
        <v>1346</v>
      </c>
      <c r="N236">
        <v>1009</v>
      </c>
      <c r="O236" t="s">
        <v>300</v>
      </c>
      <c r="P236" t="s">
        <v>300</v>
      </c>
      <c r="Q236">
        <v>1</v>
      </c>
      <c r="X236">
        <v>0.32</v>
      </c>
      <c r="Y236">
        <v>30.4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6</v>
      </c>
      <c r="AG236">
        <v>0.32</v>
      </c>
      <c r="AH236">
        <v>2</v>
      </c>
      <c r="AI236">
        <v>16808907</v>
      </c>
      <c r="AJ236">
        <v>254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ROW(Source!A189)</f>
        <v>189</v>
      </c>
      <c r="B237">
        <v>16808919</v>
      </c>
      <c r="C237">
        <v>16808902</v>
      </c>
      <c r="D237">
        <v>15167867</v>
      </c>
      <c r="E237">
        <v>1</v>
      </c>
      <c r="F237">
        <v>1</v>
      </c>
      <c r="G237">
        <v>1</v>
      </c>
      <c r="H237">
        <v>3</v>
      </c>
      <c r="I237" t="s">
        <v>929</v>
      </c>
      <c r="J237" t="s">
        <v>930</v>
      </c>
      <c r="K237" t="s">
        <v>931</v>
      </c>
      <c r="L237">
        <v>1348</v>
      </c>
      <c r="N237">
        <v>1009</v>
      </c>
      <c r="O237" t="s">
        <v>104</v>
      </c>
      <c r="P237" t="s">
        <v>104</v>
      </c>
      <c r="Q237">
        <v>1000</v>
      </c>
      <c r="X237">
        <v>1.0499999999999999E-3</v>
      </c>
      <c r="Y237">
        <v>1820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6</v>
      </c>
      <c r="AG237">
        <v>1.0499999999999999E-3</v>
      </c>
      <c r="AH237">
        <v>2</v>
      </c>
      <c r="AI237">
        <v>16808908</v>
      </c>
      <c r="AJ237">
        <v>255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ROW(Source!A189)</f>
        <v>189</v>
      </c>
      <c r="B238">
        <v>16808920</v>
      </c>
      <c r="C238">
        <v>16808902</v>
      </c>
      <c r="D238">
        <v>15203834</v>
      </c>
      <c r="E238">
        <v>1</v>
      </c>
      <c r="F238">
        <v>1</v>
      </c>
      <c r="G238">
        <v>1</v>
      </c>
      <c r="H238">
        <v>3</v>
      </c>
      <c r="I238" t="s">
        <v>932</v>
      </c>
      <c r="J238" t="s">
        <v>933</v>
      </c>
      <c r="K238" t="s">
        <v>934</v>
      </c>
      <c r="L238">
        <v>1346</v>
      </c>
      <c r="N238">
        <v>1009</v>
      </c>
      <c r="O238" t="s">
        <v>300</v>
      </c>
      <c r="P238" t="s">
        <v>300</v>
      </c>
      <c r="Q238">
        <v>1</v>
      </c>
      <c r="X238">
        <v>0.02</v>
      </c>
      <c r="Y238">
        <v>28.6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6</v>
      </c>
      <c r="AG238">
        <v>0.02</v>
      </c>
      <c r="AH238">
        <v>2</v>
      </c>
      <c r="AI238">
        <v>16808909</v>
      </c>
      <c r="AJ238">
        <v>256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ROW(Source!A189)</f>
        <v>189</v>
      </c>
      <c r="B239">
        <v>16808921</v>
      </c>
      <c r="C239">
        <v>16808902</v>
      </c>
      <c r="D239">
        <v>15217529</v>
      </c>
      <c r="E239">
        <v>1</v>
      </c>
      <c r="F239">
        <v>1</v>
      </c>
      <c r="G239">
        <v>1</v>
      </c>
      <c r="H239">
        <v>3</v>
      </c>
      <c r="I239" t="s">
        <v>935</v>
      </c>
      <c r="J239" t="s">
        <v>936</v>
      </c>
      <c r="K239" t="s">
        <v>937</v>
      </c>
      <c r="L239">
        <v>1355</v>
      </c>
      <c r="N239">
        <v>1010</v>
      </c>
      <c r="O239" t="s">
        <v>326</v>
      </c>
      <c r="P239" t="s">
        <v>326</v>
      </c>
      <c r="Q239">
        <v>100</v>
      </c>
      <c r="X239">
        <v>0.05</v>
      </c>
      <c r="Y239">
        <v>143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6</v>
      </c>
      <c r="AG239">
        <v>0.05</v>
      </c>
      <c r="AH239">
        <v>2</v>
      </c>
      <c r="AI239">
        <v>16808910</v>
      </c>
      <c r="AJ239">
        <v>257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ROW(Source!A189)</f>
        <v>189</v>
      </c>
      <c r="B240">
        <v>16808922</v>
      </c>
      <c r="C240">
        <v>16808902</v>
      </c>
      <c r="D240">
        <v>15217579</v>
      </c>
      <c r="E240">
        <v>1</v>
      </c>
      <c r="F240">
        <v>1</v>
      </c>
      <c r="G240">
        <v>1</v>
      </c>
      <c r="H240">
        <v>3</v>
      </c>
      <c r="I240" t="s">
        <v>938</v>
      </c>
      <c r="J240" t="s">
        <v>939</v>
      </c>
      <c r="K240" t="s">
        <v>940</v>
      </c>
      <c r="L240">
        <v>1356</v>
      </c>
      <c r="N240">
        <v>1010</v>
      </c>
      <c r="O240" t="s">
        <v>744</v>
      </c>
      <c r="P240" t="s">
        <v>744</v>
      </c>
      <c r="Q240">
        <v>1000</v>
      </c>
      <c r="X240">
        <v>1.2200000000000001E-2</v>
      </c>
      <c r="Y240">
        <v>176.21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6</v>
      </c>
      <c r="AG240">
        <v>1.2200000000000001E-2</v>
      </c>
      <c r="AH240">
        <v>2</v>
      </c>
      <c r="AI240">
        <v>16808911</v>
      </c>
      <c r="AJ240">
        <v>258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ROW(Source!A189)</f>
        <v>189</v>
      </c>
      <c r="B241">
        <v>16808923</v>
      </c>
      <c r="C241">
        <v>16808902</v>
      </c>
      <c r="D241">
        <v>15164559</v>
      </c>
      <c r="E241">
        <v>17</v>
      </c>
      <c r="F241">
        <v>1</v>
      </c>
      <c r="G241">
        <v>1</v>
      </c>
      <c r="H241">
        <v>3</v>
      </c>
      <c r="I241" t="s">
        <v>736</v>
      </c>
      <c r="J241" t="s">
        <v>6</v>
      </c>
      <c r="K241" t="s">
        <v>737</v>
      </c>
      <c r="L241">
        <v>1374</v>
      </c>
      <c r="N241">
        <v>1013</v>
      </c>
      <c r="O241" t="s">
        <v>738</v>
      </c>
      <c r="P241" t="s">
        <v>738</v>
      </c>
      <c r="Q241">
        <v>1</v>
      </c>
      <c r="X241">
        <v>1.18</v>
      </c>
      <c r="Y241">
        <v>1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6</v>
      </c>
      <c r="AG241">
        <v>1.18</v>
      </c>
      <c r="AH241">
        <v>2</v>
      </c>
      <c r="AI241">
        <v>16808912</v>
      </c>
      <c r="AJ241">
        <v>260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ROW(Source!A191)</f>
        <v>191</v>
      </c>
      <c r="B242">
        <v>16808933</v>
      </c>
      <c r="C242">
        <v>16808925</v>
      </c>
      <c r="D242">
        <v>15435721</v>
      </c>
      <c r="E242">
        <v>1</v>
      </c>
      <c r="F242">
        <v>1</v>
      </c>
      <c r="G242">
        <v>1</v>
      </c>
      <c r="H242">
        <v>1</v>
      </c>
      <c r="I242" t="s">
        <v>739</v>
      </c>
      <c r="J242" t="s">
        <v>6</v>
      </c>
      <c r="K242" t="s">
        <v>740</v>
      </c>
      <c r="L242">
        <v>1191</v>
      </c>
      <c r="N242">
        <v>1013</v>
      </c>
      <c r="O242" t="s">
        <v>708</v>
      </c>
      <c r="P242" t="s">
        <v>708</v>
      </c>
      <c r="Q242">
        <v>1</v>
      </c>
      <c r="X242">
        <v>20.329999999999998</v>
      </c>
      <c r="Y242">
        <v>0</v>
      </c>
      <c r="Z242">
        <v>0</v>
      </c>
      <c r="AA242">
        <v>0</v>
      </c>
      <c r="AB242">
        <v>9.51</v>
      </c>
      <c r="AC242">
        <v>0</v>
      </c>
      <c r="AD242">
        <v>1</v>
      </c>
      <c r="AE242">
        <v>1</v>
      </c>
      <c r="AF242" t="s">
        <v>443</v>
      </c>
      <c r="AG242">
        <v>24.395999999999997</v>
      </c>
      <c r="AH242">
        <v>2</v>
      </c>
      <c r="AI242">
        <v>16808926</v>
      </c>
      <c r="AJ242">
        <v>261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ROW(Source!A191)</f>
        <v>191</v>
      </c>
      <c r="B243">
        <v>16808934</v>
      </c>
      <c r="C243">
        <v>16808925</v>
      </c>
      <c r="D243">
        <v>15430395</v>
      </c>
      <c r="E243">
        <v>1</v>
      </c>
      <c r="F243">
        <v>1</v>
      </c>
      <c r="G243">
        <v>1</v>
      </c>
      <c r="H243">
        <v>1</v>
      </c>
      <c r="I243" t="s">
        <v>709</v>
      </c>
      <c r="J243" t="s">
        <v>6</v>
      </c>
      <c r="K243" t="s">
        <v>710</v>
      </c>
      <c r="L243">
        <v>1191</v>
      </c>
      <c r="N243">
        <v>1013</v>
      </c>
      <c r="O243" t="s">
        <v>708</v>
      </c>
      <c r="P243" t="s">
        <v>708</v>
      </c>
      <c r="Q243">
        <v>1</v>
      </c>
      <c r="X243">
        <v>0.01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2</v>
      </c>
      <c r="AF243" t="s">
        <v>443</v>
      </c>
      <c r="AG243">
        <v>1.2E-2</v>
      </c>
      <c r="AH243">
        <v>2</v>
      </c>
      <c r="AI243">
        <v>16808927</v>
      </c>
      <c r="AJ243">
        <v>262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ROW(Source!A191)</f>
        <v>191</v>
      </c>
      <c r="B244">
        <v>16808935</v>
      </c>
      <c r="C244">
        <v>16808925</v>
      </c>
      <c r="D244">
        <v>15247974</v>
      </c>
      <c r="E244">
        <v>1</v>
      </c>
      <c r="F244">
        <v>1</v>
      </c>
      <c r="G244">
        <v>1</v>
      </c>
      <c r="H244">
        <v>2</v>
      </c>
      <c r="I244" t="s">
        <v>711</v>
      </c>
      <c r="J244" t="s">
        <v>712</v>
      </c>
      <c r="K244" t="s">
        <v>713</v>
      </c>
      <c r="L244">
        <v>1368</v>
      </c>
      <c r="N244">
        <v>1011</v>
      </c>
      <c r="O244" t="s">
        <v>714</v>
      </c>
      <c r="P244" t="s">
        <v>714</v>
      </c>
      <c r="Q244">
        <v>1</v>
      </c>
      <c r="X244">
        <v>0.01</v>
      </c>
      <c r="Y244">
        <v>0</v>
      </c>
      <c r="Z244">
        <v>31.26</v>
      </c>
      <c r="AA244">
        <v>13.5</v>
      </c>
      <c r="AB244">
        <v>0</v>
      </c>
      <c r="AC244">
        <v>0</v>
      </c>
      <c r="AD244">
        <v>1</v>
      </c>
      <c r="AE244">
        <v>0</v>
      </c>
      <c r="AF244" t="s">
        <v>443</v>
      </c>
      <c r="AG244">
        <v>1.2E-2</v>
      </c>
      <c r="AH244">
        <v>2</v>
      </c>
      <c r="AI244">
        <v>16808928</v>
      </c>
      <c r="AJ244">
        <v>263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ROW(Source!A191)</f>
        <v>191</v>
      </c>
      <c r="B245">
        <v>16808936</v>
      </c>
      <c r="C245">
        <v>16808925</v>
      </c>
      <c r="D245">
        <v>15170076</v>
      </c>
      <c r="E245">
        <v>1</v>
      </c>
      <c r="F245">
        <v>1</v>
      </c>
      <c r="G245">
        <v>1</v>
      </c>
      <c r="H245">
        <v>3</v>
      </c>
      <c r="I245" t="s">
        <v>741</v>
      </c>
      <c r="J245" t="s">
        <v>742</v>
      </c>
      <c r="K245" t="s">
        <v>743</v>
      </c>
      <c r="L245">
        <v>1356</v>
      </c>
      <c r="N245">
        <v>1010</v>
      </c>
      <c r="O245" t="s">
        <v>744</v>
      </c>
      <c r="P245" t="s">
        <v>744</v>
      </c>
      <c r="Q245">
        <v>1000</v>
      </c>
      <c r="X245">
        <v>0.4</v>
      </c>
      <c r="Y245">
        <v>180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6</v>
      </c>
      <c r="AG245">
        <v>0.4</v>
      </c>
      <c r="AH245">
        <v>2</v>
      </c>
      <c r="AI245">
        <v>16808929</v>
      </c>
      <c r="AJ245">
        <v>264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ROW(Source!A191)</f>
        <v>191</v>
      </c>
      <c r="B246">
        <v>16808937</v>
      </c>
      <c r="C246">
        <v>16808925</v>
      </c>
      <c r="D246">
        <v>15170438</v>
      </c>
      <c r="E246">
        <v>1</v>
      </c>
      <c r="F246">
        <v>1</v>
      </c>
      <c r="G246">
        <v>1</v>
      </c>
      <c r="H246">
        <v>3</v>
      </c>
      <c r="I246" t="s">
        <v>745</v>
      </c>
      <c r="J246" t="s">
        <v>746</v>
      </c>
      <c r="K246" t="s">
        <v>747</v>
      </c>
      <c r="L246">
        <v>1348</v>
      </c>
      <c r="N246">
        <v>1009</v>
      </c>
      <c r="O246" t="s">
        <v>104</v>
      </c>
      <c r="P246" t="s">
        <v>104</v>
      </c>
      <c r="Q246">
        <v>1000</v>
      </c>
      <c r="X246">
        <v>1.4E-3</v>
      </c>
      <c r="Y246">
        <v>12430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6</v>
      </c>
      <c r="AG246">
        <v>1.4E-3</v>
      </c>
      <c r="AH246">
        <v>2</v>
      </c>
      <c r="AI246">
        <v>16808930</v>
      </c>
      <c r="AJ246">
        <v>265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ROW(Source!A191)</f>
        <v>191</v>
      </c>
      <c r="B247">
        <v>16808938</v>
      </c>
      <c r="C247">
        <v>16808925</v>
      </c>
      <c r="D247">
        <v>15164559</v>
      </c>
      <c r="E247">
        <v>17</v>
      </c>
      <c r="F247">
        <v>1</v>
      </c>
      <c r="G247">
        <v>1</v>
      </c>
      <c r="H247">
        <v>3</v>
      </c>
      <c r="I247" t="s">
        <v>736</v>
      </c>
      <c r="J247" t="s">
        <v>6</v>
      </c>
      <c r="K247" t="s">
        <v>737</v>
      </c>
      <c r="L247">
        <v>1374</v>
      </c>
      <c r="N247">
        <v>1013</v>
      </c>
      <c r="O247" t="s">
        <v>738</v>
      </c>
      <c r="P247" t="s">
        <v>738</v>
      </c>
      <c r="Q247">
        <v>1</v>
      </c>
      <c r="X247">
        <v>3.87</v>
      </c>
      <c r="Y247">
        <v>1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6</v>
      </c>
      <c r="AG247">
        <v>3.87</v>
      </c>
      <c r="AH247">
        <v>2</v>
      </c>
      <c r="AI247">
        <v>16808931</v>
      </c>
      <c r="AJ247">
        <v>267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ROW(Source!A193)</f>
        <v>193</v>
      </c>
      <c r="B248">
        <v>16808948</v>
      </c>
      <c r="C248">
        <v>16808940</v>
      </c>
      <c r="D248">
        <v>15435721</v>
      </c>
      <c r="E248">
        <v>1</v>
      </c>
      <c r="F248">
        <v>1</v>
      </c>
      <c r="G248">
        <v>1</v>
      </c>
      <c r="H248">
        <v>1</v>
      </c>
      <c r="I248" t="s">
        <v>739</v>
      </c>
      <c r="J248" t="s">
        <v>6</v>
      </c>
      <c r="K248" t="s">
        <v>740</v>
      </c>
      <c r="L248">
        <v>1191</v>
      </c>
      <c r="N248">
        <v>1013</v>
      </c>
      <c r="O248" t="s">
        <v>708</v>
      </c>
      <c r="P248" t="s">
        <v>708</v>
      </c>
      <c r="Q248">
        <v>1</v>
      </c>
      <c r="X248">
        <v>16.29</v>
      </c>
      <c r="Y248">
        <v>0</v>
      </c>
      <c r="Z248">
        <v>0</v>
      </c>
      <c r="AA248">
        <v>0</v>
      </c>
      <c r="AB248">
        <v>9.51</v>
      </c>
      <c r="AC248">
        <v>0</v>
      </c>
      <c r="AD248">
        <v>1</v>
      </c>
      <c r="AE248">
        <v>1</v>
      </c>
      <c r="AF248" t="s">
        <v>443</v>
      </c>
      <c r="AG248">
        <v>19.547999999999998</v>
      </c>
      <c r="AH248">
        <v>2</v>
      </c>
      <c r="AI248">
        <v>16808941</v>
      </c>
      <c r="AJ248">
        <v>268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ROW(Source!A193)</f>
        <v>193</v>
      </c>
      <c r="B249">
        <v>16808949</v>
      </c>
      <c r="C249">
        <v>16808940</v>
      </c>
      <c r="D249">
        <v>15430395</v>
      </c>
      <c r="E249">
        <v>1</v>
      </c>
      <c r="F249">
        <v>1</v>
      </c>
      <c r="G249">
        <v>1</v>
      </c>
      <c r="H249">
        <v>1</v>
      </c>
      <c r="I249" t="s">
        <v>709</v>
      </c>
      <c r="J249" t="s">
        <v>6</v>
      </c>
      <c r="K249" t="s">
        <v>710</v>
      </c>
      <c r="L249">
        <v>1191</v>
      </c>
      <c r="N249">
        <v>1013</v>
      </c>
      <c r="O249" t="s">
        <v>708</v>
      </c>
      <c r="P249" t="s">
        <v>708</v>
      </c>
      <c r="Q249">
        <v>1</v>
      </c>
      <c r="X249">
        <v>0.01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2</v>
      </c>
      <c r="AF249" t="s">
        <v>443</v>
      </c>
      <c r="AG249">
        <v>1.2E-2</v>
      </c>
      <c r="AH249">
        <v>2</v>
      </c>
      <c r="AI249">
        <v>16808942</v>
      </c>
      <c r="AJ249">
        <v>269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ROW(Source!A193)</f>
        <v>193</v>
      </c>
      <c r="B250">
        <v>16808950</v>
      </c>
      <c r="C250">
        <v>16808940</v>
      </c>
      <c r="D250">
        <v>15247974</v>
      </c>
      <c r="E250">
        <v>1</v>
      </c>
      <c r="F250">
        <v>1</v>
      </c>
      <c r="G250">
        <v>1</v>
      </c>
      <c r="H250">
        <v>2</v>
      </c>
      <c r="I250" t="s">
        <v>711</v>
      </c>
      <c r="J250" t="s">
        <v>712</v>
      </c>
      <c r="K250" t="s">
        <v>713</v>
      </c>
      <c r="L250">
        <v>1368</v>
      </c>
      <c r="N250">
        <v>1011</v>
      </c>
      <c r="O250" t="s">
        <v>714</v>
      </c>
      <c r="P250" t="s">
        <v>714</v>
      </c>
      <c r="Q250">
        <v>1</v>
      </c>
      <c r="X250">
        <v>0.01</v>
      </c>
      <c r="Y250">
        <v>0</v>
      </c>
      <c r="Z250">
        <v>31.26</v>
      </c>
      <c r="AA250">
        <v>13.5</v>
      </c>
      <c r="AB250">
        <v>0</v>
      </c>
      <c r="AC250">
        <v>0</v>
      </c>
      <c r="AD250">
        <v>1</v>
      </c>
      <c r="AE250">
        <v>0</v>
      </c>
      <c r="AF250" t="s">
        <v>443</v>
      </c>
      <c r="AG250">
        <v>1.2E-2</v>
      </c>
      <c r="AH250">
        <v>2</v>
      </c>
      <c r="AI250">
        <v>16808943</v>
      </c>
      <c r="AJ250">
        <v>270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ROW(Source!A193)</f>
        <v>193</v>
      </c>
      <c r="B251">
        <v>16808951</v>
      </c>
      <c r="C251">
        <v>16808940</v>
      </c>
      <c r="D251">
        <v>15170076</v>
      </c>
      <c r="E251">
        <v>1</v>
      </c>
      <c r="F251">
        <v>1</v>
      </c>
      <c r="G251">
        <v>1</v>
      </c>
      <c r="H251">
        <v>3</v>
      </c>
      <c r="I251" t="s">
        <v>741</v>
      </c>
      <c r="J251" t="s">
        <v>742</v>
      </c>
      <c r="K251" t="s">
        <v>743</v>
      </c>
      <c r="L251">
        <v>1356</v>
      </c>
      <c r="N251">
        <v>1010</v>
      </c>
      <c r="O251" t="s">
        <v>744</v>
      </c>
      <c r="P251" t="s">
        <v>744</v>
      </c>
      <c r="Q251">
        <v>1000</v>
      </c>
      <c r="X251">
        <v>0.2</v>
      </c>
      <c r="Y251">
        <v>180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6</v>
      </c>
      <c r="AG251">
        <v>0.2</v>
      </c>
      <c r="AH251">
        <v>2</v>
      </c>
      <c r="AI251">
        <v>16808944</v>
      </c>
      <c r="AJ251">
        <v>271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ROW(Source!A193)</f>
        <v>193</v>
      </c>
      <c r="B252">
        <v>16808952</v>
      </c>
      <c r="C252">
        <v>16808940</v>
      </c>
      <c r="D252">
        <v>15170438</v>
      </c>
      <c r="E252">
        <v>1</v>
      </c>
      <c r="F252">
        <v>1</v>
      </c>
      <c r="G252">
        <v>1</v>
      </c>
      <c r="H252">
        <v>3</v>
      </c>
      <c r="I252" t="s">
        <v>745</v>
      </c>
      <c r="J252" t="s">
        <v>746</v>
      </c>
      <c r="K252" t="s">
        <v>747</v>
      </c>
      <c r="L252">
        <v>1348</v>
      </c>
      <c r="N252">
        <v>1009</v>
      </c>
      <c r="O252" t="s">
        <v>104</v>
      </c>
      <c r="P252" t="s">
        <v>104</v>
      </c>
      <c r="Q252">
        <v>1000</v>
      </c>
      <c r="X252">
        <v>1E-3</v>
      </c>
      <c r="Y252">
        <v>12430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6</v>
      </c>
      <c r="AG252">
        <v>1E-3</v>
      </c>
      <c r="AH252">
        <v>2</v>
      </c>
      <c r="AI252">
        <v>16808945</v>
      </c>
      <c r="AJ252">
        <v>272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ROW(Source!A193)</f>
        <v>193</v>
      </c>
      <c r="B253">
        <v>16808953</v>
      </c>
      <c r="C253">
        <v>16808940</v>
      </c>
      <c r="D253">
        <v>15164559</v>
      </c>
      <c r="E253">
        <v>17</v>
      </c>
      <c r="F253">
        <v>1</v>
      </c>
      <c r="G253">
        <v>1</v>
      </c>
      <c r="H253">
        <v>3</v>
      </c>
      <c r="I253" t="s">
        <v>736</v>
      </c>
      <c r="J253" t="s">
        <v>6</v>
      </c>
      <c r="K253" t="s">
        <v>737</v>
      </c>
      <c r="L253">
        <v>1374</v>
      </c>
      <c r="N253">
        <v>1013</v>
      </c>
      <c r="O253" t="s">
        <v>738</v>
      </c>
      <c r="P253" t="s">
        <v>738</v>
      </c>
      <c r="Q253">
        <v>1</v>
      </c>
      <c r="X253">
        <v>3.1</v>
      </c>
      <c r="Y253">
        <v>1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6</v>
      </c>
      <c r="AG253">
        <v>3.1</v>
      </c>
      <c r="AH253">
        <v>2</v>
      </c>
      <c r="AI253">
        <v>16808946</v>
      </c>
      <c r="AJ253">
        <v>274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ROW(Source!A195)</f>
        <v>195</v>
      </c>
      <c r="B254">
        <v>16808965</v>
      </c>
      <c r="C254">
        <v>16808955</v>
      </c>
      <c r="D254">
        <v>15430397</v>
      </c>
      <c r="E254">
        <v>1</v>
      </c>
      <c r="F254">
        <v>1</v>
      </c>
      <c r="G254">
        <v>1</v>
      </c>
      <c r="H254">
        <v>1</v>
      </c>
      <c r="I254" t="s">
        <v>927</v>
      </c>
      <c r="J254" t="s">
        <v>6</v>
      </c>
      <c r="K254" t="s">
        <v>928</v>
      </c>
      <c r="L254">
        <v>1191</v>
      </c>
      <c r="N254">
        <v>1013</v>
      </c>
      <c r="O254" t="s">
        <v>708</v>
      </c>
      <c r="P254" t="s">
        <v>708</v>
      </c>
      <c r="Q254">
        <v>1</v>
      </c>
      <c r="X254">
        <v>3.76</v>
      </c>
      <c r="Y254">
        <v>0</v>
      </c>
      <c r="Z254">
        <v>0</v>
      </c>
      <c r="AA254">
        <v>0</v>
      </c>
      <c r="AB254">
        <v>9.4</v>
      </c>
      <c r="AC254">
        <v>0</v>
      </c>
      <c r="AD254">
        <v>1</v>
      </c>
      <c r="AE254">
        <v>1</v>
      </c>
      <c r="AF254" t="s">
        <v>443</v>
      </c>
      <c r="AG254">
        <v>4.5119999999999996</v>
      </c>
      <c r="AH254">
        <v>2</v>
      </c>
      <c r="AI254">
        <v>16808956</v>
      </c>
      <c r="AJ254">
        <v>275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ROW(Source!A195)</f>
        <v>195</v>
      </c>
      <c r="B255">
        <v>16808966</v>
      </c>
      <c r="C255">
        <v>16808955</v>
      </c>
      <c r="D255">
        <v>15430395</v>
      </c>
      <c r="E255">
        <v>1</v>
      </c>
      <c r="F255">
        <v>1</v>
      </c>
      <c r="G255">
        <v>1</v>
      </c>
      <c r="H255">
        <v>1</v>
      </c>
      <c r="I255" t="s">
        <v>709</v>
      </c>
      <c r="J255" t="s">
        <v>6</v>
      </c>
      <c r="K255" t="s">
        <v>710</v>
      </c>
      <c r="L255">
        <v>1191</v>
      </c>
      <c r="N255">
        <v>1013</v>
      </c>
      <c r="O255" t="s">
        <v>708</v>
      </c>
      <c r="P255" t="s">
        <v>708</v>
      </c>
      <c r="Q255">
        <v>1</v>
      </c>
      <c r="X255">
        <v>0.02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2</v>
      </c>
      <c r="AF255" t="s">
        <v>443</v>
      </c>
      <c r="AG255">
        <v>2.4E-2</v>
      </c>
      <c r="AH255">
        <v>2</v>
      </c>
      <c r="AI255">
        <v>16808957</v>
      </c>
      <c r="AJ255">
        <v>276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ROW(Source!A195)</f>
        <v>195</v>
      </c>
      <c r="B256">
        <v>16808967</v>
      </c>
      <c r="C256">
        <v>16808955</v>
      </c>
      <c r="D256">
        <v>15247680</v>
      </c>
      <c r="E256">
        <v>1</v>
      </c>
      <c r="F256">
        <v>1</v>
      </c>
      <c r="G256">
        <v>1</v>
      </c>
      <c r="H256">
        <v>2</v>
      </c>
      <c r="I256" t="s">
        <v>721</v>
      </c>
      <c r="J256" t="s">
        <v>722</v>
      </c>
      <c r="K256" t="s">
        <v>723</v>
      </c>
      <c r="L256">
        <v>1368</v>
      </c>
      <c r="N256">
        <v>1011</v>
      </c>
      <c r="O256" t="s">
        <v>714</v>
      </c>
      <c r="P256" t="s">
        <v>714</v>
      </c>
      <c r="Q256">
        <v>1</v>
      </c>
      <c r="X256">
        <v>0.01</v>
      </c>
      <c r="Y256">
        <v>0</v>
      </c>
      <c r="Z256">
        <v>111.99</v>
      </c>
      <c r="AA256">
        <v>13.5</v>
      </c>
      <c r="AB256">
        <v>0</v>
      </c>
      <c r="AC256">
        <v>0</v>
      </c>
      <c r="AD256">
        <v>1</v>
      </c>
      <c r="AE256">
        <v>0</v>
      </c>
      <c r="AF256" t="s">
        <v>443</v>
      </c>
      <c r="AG256">
        <v>1.2E-2</v>
      </c>
      <c r="AH256">
        <v>2</v>
      </c>
      <c r="AI256">
        <v>16808958</v>
      </c>
      <c r="AJ256">
        <v>277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ROW(Source!A195)</f>
        <v>195</v>
      </c>
      <c r="B257">
        <v>16808968</v>
      </c>
      <c r="C257">
        <v>16808955</v>
      </c>
      <c r="D257">
        <v>15249073</v>
      </c>
      <c r="E257">
        <v>1</v>
      </c>
      <c r="F257">
        <v>1</v>
      </c>
      <c r="G257">
        <v>1</v>
      </c>
      <c r="H257">
        <v>2</v>
      </c>
      <c r="I257" t="s">
        <v>724</v>
      </c>
      <c r="J257" t="s">
        <v>725</v>
      </c>
      <c r="K257" t="s">
        <v>726</v>
      </c>
      <c r="L257">
        <v>1368</v>
      </c>
      <c r="N257">
        <v>1011</v>
      </c>
      <c r="O257" t="s">
        <v>714</v>
      </c>
      <c r="P257" t="s">
        <v>714</v>
      </c>
      <c r="Q257">
        <v>1</v>
      </c>
      <c r="X257">
        <v>0.01</v>
      </c>
      <c r="Y257">
        <v>0</v>
      </c>
      <c r="Z257">
        <v>65.709999999999994</v>
      </c>
      <c r="AA257">
        <v>11.6</v>
      </c>
      <c r="AB257">
        <v>0</v>
      </c>
      <c r="AC257">
        <v>0</v>
      </c>
      <c r="AD257">
        <v>1</v>
      </c>
      <c r="AE257">
        <v>0</v>
      </c>
      <c r="AF257" t="s">
        <v>443</v>
      </c>
      <c r="AG257">
        <v>1.2E-2</v>
      </c>
      <c r="AH257">
        <v>2</v>
      </c>
      <c r="AI257">
        <v>16808959</v>
      </c>
      <c r="AJ257">
        <v>278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ROW(Source!A195)</f>
        <v>195</v>
      </c>
      <c r="B258">
        <v>16808969</v>
      </c>
      <c r="C258">
        <v>16808955</v>
      </c>
      <c r="D258">
        <v>15167588</v>
      </c>
      <c r="E258">
        <v>1</v>
      </c>
      <c r="F258">
        <v>1</v>
      </c>
      <c r="G258">
        <v>1</v>
      </c>
      <c r="H258">
        <v>3</v>
      </c>
      <c r="I258" t="s">
        <v>727</v>
      </c>
      <c r="J258" t="s">
        <v>728</v>
      </c>
      <c r="K258" t="s">
        <v>729</v>
      </c>
      <c r="L258">
        <v>1346</v>
      </c>
      <c r="N258">
        <v>1009</v>
      </c>
      <c r="O258" t="s">
        <v>300</v>
      </c>
      <c r="P258" t="s">
        <v>300</v>
      </c>
      <c r="Q258">
        <v>1</v>
      </c>
      <c r="X258">
        <v>0.16</v>
      </c>
      <c r="Y258">
        <v>30.4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6</v>
      </c>
      <c r="AG258">
        <v>0.16</v>
      </c>
      <c r="AH258">
        <v>2</v>
      </c>
      <c r="AI258">
        <v>16808960</v>
      </c>
      <c r="AJ258">
        <v>279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ROW(Source!A195)</f>
        <v>195</v>
      </c>
      <c r="B259">
        <v>16808970</v>
      </c>
      <c r="C259">
        <v>16808955</v>
      </c>
      <c r="D259">
        <v>15167600</v>
      </c>
      <c r="E259">
        <v>1</v>
      </c>
      <c r="F259">
        <v>1</v>
      </c>
      <c r="G259">
        <v>1</v>
      </c>
      <c r="H259">
        <v>3</v>
      </c>
      <c r="I259" t="s">
        <v>941</v>
      </c>
      <c r="J259" t="s">
        <v>942</v>
      </c>
      <c r="K259" t="s">
        <v>943</v>
      </c>
      <c r="L259">
        <v>1308</v>
      </c>
      <c r="N259">
        <v>1003</v>
      </c>
      <c r="O259" t="s">
        <v>40</v>
      </c>
      <c r="P259" t="s">
        <v>40</v>
      </c>
      <c r="Q259">
        <v>100</v>
      </c>
      <c r="X259">
        <v>5.5E-2</v>
      </c>
      <c r="Y259">
        <v>120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0</v>
      </c>
      <c r="AF259" t="s">
        <v>6</v>
      </c>
      <c r="AG259">
        <v>5.5E-2</v>
      </c>
      <c r="AH259">
        <v>2</v>
      </c>
      <c r="AI259">
        <v>16808961</v>
      </c>
      <c r="AJ259">
        <v>280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ROW(Source!A195)</f>
        <v>195</v>
      </c>
      <c r="B260">
        <v>16808971</v>
      </c>
      <c r="C260">
        <v>16808955</v>
      </c>
      <c r="D260">
        <v>15203834</v>
      </c>
      <c r="E260">
        <v>1</v>
      </c>
      <c r="F260">
        <v>1</v>
      </c>
      <c r="G260">
        <v>1</v>
      </c>
      <c r="H260">
        <v>3</v>
      </c>
      <c r="I260" t="s">
        <v>932</v>
      </c>
      <c r="J260" t="s">
        <v>933</v>
      </c>
      <c r="K260" t="s">
        <v>934</v>
      </c>
      <c r="L260">
        <v>1346</v>
      </c>
      <c r="N260">
        <v>1009</v>
      </c>
      <c r="O260" t="s">
        <v>300</v>
      </c>
      <c r="P260" t="s">
        <v>300</v>
      </c>
      <c r="Q260">
        <v>1</v>
      </c>
      <c r="X260">
        <v>0.05</v>
      </c>
      <c r="Y260">
        <v>28.6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6</v>
      </c>
      <c r="AG260">
        <v>0.05</v>
      </c>
      <c r="AH260">
        <v>2</v>
      </c>
      <c r="AI260">
        <v>16808962</v>
      </c>
      <c r="AJ260">
        <v>281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ROW(Source!A195)</f>
        <v>195</v>
      </c>
      <c r="B261">
        <v>16808972</v>
      </c>
      <c r="C261">
        <v>16808955</v>
      </c>
      <c r="D261">
        <v>15164559</v>
      </c>
      <c r="E261">
        <v>17</v>
      </c>
      <c r="F261">
        <v>1</v>
      </c>
      <c r="G261">
        <v>1</v>
      </c>
      <c r="H261">
        <v>3</v>
      </c>
      <c r="I261" t="s">
        <v>736</v>
      </c>
      <c r="J261" t="s">
        <v>6</v>
      </c>
      <c r="K261" t="s">
        <v>737</v>
      </c>
      <c r="L261">
        <v>1374</v>
      </c>
      <c r="N261">
        <v>1013</v>
      </c>
      <c r="O261" t="s">
        <v>738</v>
      </c>
      <c r="P261" t="s">
        <v>738</v>
      </c>
      <c r="Q261">
        <v>1</v>
      </c>
      <c r="X261">
        <v>0.71</v>
      </c>
      <c r="Y261">
        <v>1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6</v>
      </c>
      <c r="AG261">
        <v>0.71</v>
      </c>
      <c r="AH261">
        <v>2</v>
      </c>
      <c r="AI261">
        <v>16808963</v>
      </c>
      <c r="AJ261">
        <v>283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ROW(Source!A197)</f>
        <v>197</v>
      </c>
      <c r="B262">
        <v>16808984</v>
      </c>
      <c r="C262">
        <v>16808974</v>
      </c>
      <c r="D262">
        <v>15430397</v>
      </c>
      <c r="E262">
        <v>1</v>
      </c>
      <c r="F262">
        <v>1</v>
      </c>
      <c r="G262">
        <v>1</v>
      </c>
      <c r="H262">
        <v>1</v>
      </c>
      <c r="I262" t="s">
        <v>927</v>
      </c>
      <c r="J262" t="s">
        <v>6</v>
      </c>
      <c r="K262" t="s">
        <v>928</v>
      </c>
      <c r="L262">
        <v>1191</v>
      </c>
      <c r="N262">
        <v>1013</v>
      </c>
      <c r="O262" t="s">
        <v>708</v>
      </c>
      <c r="P262" t="s">
        <v>708</v>
      </c>
      <c r="Q262">
        <v>1</v>
      </c>
      <c r="X262">
        <v>2.82</v>
      </c>
      <c r="Y262">
        <v>0</v>
      </c>
      <c r="Z262">
        <v>0</v>
      </c>
      <c r="AA262">
        <v>0</v>
      </c>
      <c r="AB262">
        <v>9.4</v>
      </c>
      <c r="AC262">
        <v>0</v>
      </c>
      <c r="AD262">
        <v>1</v>
      </c>
      <c r="AE262">
        <v>1</v>
      </c>
      <c r="AF262" t="s">
        <v>443</v>
      </c>
      <c r="AG262">
        <v>3.3839999999999999</v>
      </c>
      <c r="AH262">
        <v>2</v>
      </c>
      <c r="AI262">
        <v>16808975</v>
      </c>
      <c r="AJ262">
        <v>284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ROW(Source!A197)</f>
        <v>197</v>
      </c>
      <c r="B263">
        <v>16808985</v>
      </c>
      <c r="C263">
        <v>16808974</v>
      </c>
      <c r="D263">
        <v>15430395</v>
      </c>
      <c r="E263">
        <v>1</v>
      </c>
      <c r="F263">
        <v>1</v>
      </c>
      <c r="G263">
        <v>1</v>
      </c>
      <c r="H263">
        <v>1</v>
      </c>
      <c r="I263" t="s">
        <v>709</v>
      </c>
      <c r="J263" t="s">
        <v>6</v>
      </c>
      <c r="K263" t="s">
        <v>710</v>
      </c>
      <c r="L263">
        <v>1191</v>
      </c>
      <c r="N263">
        <v>1013</v>
      </c>
      <c r="O263" t="s">
        <v>708</v>
      </c>
      <c r="P263" t="s">
        <v>708</v>
      </c>
      <c r="Q263">
        <v>1</v>
      </c>
      <c r="X263">
        <v>0.02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2</v>
      </c>
      <c r="AF263" t="s">
        <v>443</v>
      </c>
      <c r="AG263">
        <v>2.4E-2</v>
      </c>
      <c r="AH263">
        <v>2</v>
      </c>
      <c r="AI263">
        <v>16808976</v>
      </c>
      <c r="AJ263">
        <v>285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ROW(Source!A197)</f>
        <v>197</v>
      </c>
      <c r="B264">
        <v>16808986</v>
      </c>
      <c r="C264">
        <v>16808974</v>
      </c>
      <c r="D264">
        <v>15247680</v>
      </c>
      <c r="E264">
        <v>1</v>
      </c>
      <c r="F264">
        <v>1</v>
      </c>
      <c r="G264">
        <v>1</v>
      </c>
      <c r="H264">
        <v>2</v>
      </c>
      <c r="I264" t="s">
        <v>721</v>
      </c>
      <c r="J264" t="s">
        <v>722</v>
      </c>
      <c r="K264" t="s">
        <v>723</v>
      </c>
      <c r="L264">
        <v>1368</v>
      </c>
      <c r="N264">
        <v>1011</v>
      </c>
      <c r="O264" t="s">
        <v>714</v>
      </c>
      <c r="P264" t="s">
        <v>714</v>
      </c>
      <c r="Q264">
        <v>1</v>
      </c>
      <c r="X264">
        <v>0.01</v>
      </c>
      <c r="Y264">
        <v>0</v>
      </c>
      <c r="Z264">
        <v>111.99</v>
      </c>
      <c r="AA264">
        <v>13.5</v>
      </c>
      <c r="AB264">
        <v>0</v>
      </c>
      <c r="AC264">
        <v>0</v>
      </c>
      <c r="AD264">
        <v>1</v>
      </c>
      <c r="AE264">
        <v>0</v>
      </c>
      <c r="AF264" t="s">
        <v>443</v>
      </c>
      <c r="AG264">
        <v>1.2E-2</v>
      </c>
      <c r="AH264">
        <v>2</v>
      </c>
      <c r="AI264">
        <v>16808977</v>
      </c>
      <c r="AJ264">
        <v>286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ROW(Source!A197)</f>
        <v>197</v>
      </c>
      <c r="B265">
        <v>16808987</v>
      </c>
      <c r="C265">
        <v>16808974</v>
      </c>
      <c r="D265">
        <v>15249073</v>
      </c>
      <c r="E265">
        <v>1</v>
      </c>
      <c r="F265">
        <v>1</v>
      </c>
      <c r="G265">
        <v>1</v>
      </c>
      <c r="H265">
        <v>2</v>
      </c>
      <c r="I265" t="s">
        <v>724</v>
      </c>
      <c r="J265" t="s">
        <v>725</v>
      </c>
      <c r="K265" t="s">
        <v>726</v>
      </c>
      <c r="L265">
        <v>1368</v>
      </c>
      <c r="N265">
        <v>1011</v>
      </c>
      <c r="O265" t="s">
        <v>714</v>
      </c>
      <c r="P265" t="s">
        <v>714</v>
      </c>
      <c r="Q265">
        <v>1</v>
      </c>
      <c r="X265">
        <v>0.01</v>
      </c>
      <c r="Y265">
        <v>0</v>
      </c>
      <c r="Z265">
        <v>65.709999999999994</v>
      </c>
      <c r="AA265">
        <v>11.6</v>
      </c>
      <c r="AB265">
        <v>0</v>
      </c>
      <c r="AC265">
        <v>0</v>
      </c>
      <c r="AD265">
        <v>1</v>
      </c>
      <c r="AE265">
        <v>0</v>
      </c>
      <c r="AF265" t="s">
        <v>443</v>
      </c>
      <c r="AG265">
        <v>1.2E-2</v>
      </c>
      <c r="AH265">
        <v>2</v>
      </c>
      <c r="AI265">
        <v>16808978</v>
      </c>
      <c r="AJ265">
        <v>287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ROW(Source!A197)</f>
        <v>197</v>
      </c>
      <c r="B266">
        <v>16808988</v>
      </c>
      <c r="C266">
        <v>16808974</v>
      </c>
      <c r="D266">
        <v>15167588</v>
      </c>
      <c r="E266">
        <v>1</v>
      </c>
      <c r="F266">
        <v>1</v>
      </c>
      <c r="G266">
        <v>1</v>
      </c>
      <c r="H266">
        <v>3</v>
      </c>
      <c r="I266" t="s">
        <v>727</v>
      </c>
      <c r="J266" t="s">
        <v>728</v>
      </c>
      <c r="K266" t="s">
        <v>729</v>
      </c>
      <c r="L266">
        <v>1346</v>
      </c>
      <c r="N266">
        <v>1009</v>
      </c>
      <c r="O266" t="s">
        <v>300</v>
      </c>
      <c r="P266" t="s">
        <v>300</v>
      </c>
      <c r="Q266">
        <v>1</v>
      </c>
      <c r="X266">
        <v>0.16</v>
      </c>
      <c r="Y266">
        <v>30.4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6</v>
      </c>
      <c r="AG266">
        <v>0.16</v>
      </c>
      <c r="AH266">
        <v>2</v>
      </c>
      <c r="AI266">
        <v>16808979</v>
      </c>
      <c r="AJ266">
        <v>288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ROW(Source!A197)</f>
        <v>197</v>
      </c>
      <c r="B267">
        <v>16808989</v>
      </c>
      <c r="C267">
        <v>16808974</v>
      </c>
      <c r="D267">
        <v>15167600</v>
      </c>
      <c r="E267">
        <v>1</v>
      </c>
      <c r="F267">
        <v>1</v>
      </c>
      <c r="G267">
        <v>1</v>
      </c>
      <c r="H267">
        <v>3</v>
      </c>
      <c r="I267" t="s">
        <v>941</v>
      </c>
      <c r="J267" t="s">
        <v>942</v>
      </c>
      <c r="K267" t="s">
        <v>943</v>
      </c>
      <c r="L267">
        <v>1308</v>
      </c>
      <c r="N267">
        <v>1003</v>
      </c>
      <c r="O267" t="s">
        <v>40</v>
      </c>
      <c r="P267" t="s">
        <v>40</v>
      </c>
      <c r="Q267">
        <v>100</v>
      </c>
      <c r="X267">
        <v>0.05</v>
      </c>
      <c r="Y267">
        <v>120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6</v>
      </c>
      <c r="AG267">
        <v>0.05</v>
      </c>
      <c r="AH267">
        <v>2</v>
      </c>
      <c r="AI267">
        <v>16808980</v>
      </c>
      <c r="AJ267">
        <v>289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ROW(Source!A197)</f>
        <v>197</v>
      </c>
      <c r="B268">
        <v>16808990</v>
      </c>
      <c r="C268">
        <v>16808974</v>
      </c>
      <c r="D268">
        <v>15203834</v>
      </c>
      <c r="E268">
        <v>1</v>
      </c>
      <c r="F268">
        <v>1</v>
      </c>
      <c r="G268">
        <v>1</v>
      </c>
      <c r="H268">
        <v>3</v>
      </c>
      <c r="I268" t="s">
        <v>932</v>
      </c>
      <c r="J268" t="s">
        <v>933</v>
      </c>
      <c r="K268" t="s">
        <v>934</v>
      </c>
      <c r="L268">
        <v>1346</v>
      </c>
      <c r="N268">
        <v>1009</v>
      </c>
      <c r="O268" t="s">
        <v>300</v>
      </c>
      <c r="P268" t="s">
        <v>300</v>
      </c>
      <c r="Q268">
        <v>1</v>
      </c>
      <c r="X268">
        <v>0.05</v>
      </c>
      <c r="Y268">
        <v>28.6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6</v>
      </c>
      <c r="AG268">
        <v>0.05</v>
      </c>
      <c r="AH268">
        <v>2</v>
      </c>
      <c r="AI268">
        <v>16808981</v>
      </c>
      <c r="AJ268">
        <v>290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ROW(Source!A197)</f>
        <v>197</v>
      </c>
      <c r="B269">
        <v>16808991</v>
      </c>
      <c r="C269">
        <v>16808974</v>
      </c>
      <c r="D269">
        <v>15164559</v>
      </c>
      <c r="E269">
        <v>17</v>
      </c>
      <c r="F269">
        <v>1</v>
      </c>
      <c r="G269">
        <v>1</v>
      </c>
      <c r="H269">
        <v>3</v>
      </c>
      <c r="I269" t="s">
        <v>736</v>
      </c>
      <c r="J269" t="s">
        <v>6</v>
      </c>
      <c r="K269" t="s">
        <v>737</v>
      </c>
      <c r="L269">
        <v>1374</v>
      </c>
      <c r="N269">
        <v>1013</v>
      </c>
      <c r="O269" t="s">
        <v>738</v>
      </c>
      <c r="P269" t="s">
        <v>738</v>
      </c>
      <c r="Q269">
        <v>1</v>
      </c>
      <c r="X269">
        <v>0.53</v>
      </c>
      <c r="Y269">
        <v>1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6</v>
      </c>
      <c r="AG269">
        <v>0.53</v>
      </c>
      <c r="AH269">
        <v>2</v>
      </c>
      <c r="AI269">
        <v>16808982</v>
      </c>
      <c r="AJ269">
        <v>292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ROW(Source!A199)</f>
        <v>199</v>
      </c>
      <c r="B270">
        <v>16809006</v>
      </c>
      <c r="C270">
        <v>16808993</v>
      </c>
      <c r="D270">
        <v>15446300</v>
      </c>
      <c r="E270">
        <v>1</v>
      </c>
      <c r="F270">
        <v>1</v>
      </c>
      <c r="G270">
        <v>1</v>
      </c>
      <c r="H270">
        <v>1</v>
      </c>
      <c r="I270" t="s">
        <v>944</v>
      </c>
      <c r="J270" t="s">
        <v>6</v>
      </c>
      <c r="K270" t="s">
        <v>945</v>
      </c>
      <c r="L270">
        <v>1191</v>
      </c>
      <c r="N270">
        <v>1013</v>
      </c>
      <c r="O270" t="s">
        <v>708</v>
      </c>
      <c r="P270" t="s">
        <v>708</v>
      </c>
      <c r="Q270">
        <v>1</v>
      </c>
      <c r="X270">
        <v>34.56</v>
      </c>
      <c r="Y270">
        <v>0</v>
      </c>
      <c r="Z270">
        <v>0</v>
      </c>
      <c r="AA270">
        <v>0</v>
      </c>
      <c r="AB270">
        <v>9.92</v>
      </c>
      <c r="AC270">
        <v>0</v>
      </c>
      <c r="AD270">
        <v>1</v>
      </c>
      <c r="AE270">
        <v>1</v>
      </c>
      <c r="AF270" t="s">
        <v>443</v>
      </c>
      <c r="AG270">
        <v>41.472000000000001</v>
      </c>
      <c r="AH270">
        <v>2</v>
      </c>
      <c r="AI270">
        <v>16808994</v>
      </c>
      <c r="AJ270">
        <v>293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ROW(Source!A199)</f>
        <v>199</v>
      </c>
      <c r="B271">
        <v>16809007</v>
      </c>
      <c r="C271">
        <v>16808993</v>
      </c>
      <c r="D271">
        <v>15430395</v>
      </c>
      <c r="E271">
        <v>1</v>
      </c>
      <c r="F271">
        <v>1</v>
      </c>
      <c r="G271">
        <v>1</v>
      </c>
      <c r="H271">
        <v>1</v>
      </c>
      <c r="I271" t="s">
        <v>709</v>
      </c>
      <c r="J271" t="s">
        <v>6</v>
      </c>
      <c r="K271" t="s">
        <v>710</v>
      </c>
      <c r="L271">
        <v>1191</v>
      </c>
      <c r="N271">
        <v>1013</v>
      </c>
      <c r="O271" t="s">
        <v>708</v>
      </c>
      <c r="P271" t="s">
        <v>708</v>
      </c>
      <c r="Q271">
        <v>1</v>
      </c>
      <c r="X271">
        <v>0.05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2</v>
      </c>
      <c r="AF271" t="s">
        <v>443</v>
      </c>
      <c r="AG271">
        <v>0.06</v>
      </c>
      <c r="AH271">
        <v>2</v>
      </c>
      <c r="AI271">
        <v>16808995</v>
      </c>
      <c r="AJ271">
        <v>294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ROW(Source!A199)</f>
        <v>199</v>
      </c>
      <c r="B272">
        <v>16809008</v>
      </c>
      <c r="C272">
        <v>16808993</v>
      </c>
      <c r="D272">
        <v>15247680</v>
      </c>
      <c r="E272">
        <v>1</v>
      </c>
      <c r="F272">
        <v>1</v>
      </c>
      <c r="G272">
        <v>1</v>
      </c>
      <c r="H272">
        <v>2</v>
      </c>
      <c r="I272" t="s">
        <v>721</v>
      </c>
      <c r="J272" t="s">
        <v>722</v>
      </c>
      <c r="K272" t="s">
        <v>723</v>
      </c>
      <c r="L272">
        <v>1368</v>
      </c>
      <c r="N272">
        <v>1011</v>
      </c>
      <c r="O272" t="s">
        <v>714</v>
      </c>
      <c r="P272" t="s">
        <v>714</v>
      </c>
      <c r="Q272">
        <v>1</v>
      </c>
      <c r="X272">
        <v>0.03</v>
      </c>
      <c r="Y272">
        <v>0</v>
      </c>
      <c r="Z272">
        <v>111.99</v>
      </c>
      <c r="AA272">
        <v>13.5</v>
      </c>
      <c r="AB272">
        <v>0</v>
      </c>
      <c r="AC272">
        <v>0</v>
      </c>
      <c r="AD272">
        <v>1</v>
      </c>
      <c r="AE272">
        <v>0</v>
      </c>
      <c r="AF272" t="s">
        <v>443</v>
      </c>
      <c r="AG272">
        <v>3.5999999999999997E-2</v>
      </c>
      <c r="AH272">
        <v>2</v>
      </c>
      <c r="AI272">
        <v>16808996</v>
      </c>
      <c r="AJ272">
        <v>295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ROW(Source!A199)</f>
        <v>199</v>
      </c>
      <c r="B273">
        <v>16809009</v>
      </c>
      <c r="C273">
        <v>16808993</v>
      </c>
      <c r="D273">
        <v>15249073</v>
      </c>
      <c r="E273">
        <v>1</v>
      </c>
      <c r="F273">
        <v>1</v>
      </c>
      <c r="G273">
        <v>1</v>
      </c>
      <c r="H273">
        <v>2</v>
      </c>
      <c r="I273" t="s">
        <v>724</v>
      </c>
      <c r="J273" t="s">
        <v>725</v>
      </c>
      <c r="K273" t="s">
        <v>726</v>
      </c>
      <c r="L273">
        <v>1368</v>
      </c>
      <c r="N273">
        <v>1011</v>
      </c>
      <c r="O273" t="s">
        <v>714</v>
      </c>
      <c r="P273" t="s">
        <v>714</v>
      </c>
      <c r="Q273">
        <v>1</v>
      </c>
      <c r="X273">
        <v>0.02</v>
      </c>
      <c r="Y273">
        <v>0</v>
      </c>
      <c r="Z273">
        <v>65.709999999999994</v>
      </c>
      <c r="AA273">
        <v>11.6</v>
      </c>
      <c r="AB273">
        <v>0</v>
      </c>
      <c r="AC273">
        <v>0</v>
      </c>
      <c r="AD273">
        <v>1</v>
      </c>
      <c r="AE273">
        <v>0</v>
      </c>
      <c r="AF273" t="s">
        <v>443</v>
      </c>
      <c r="AG273">
        <v>2.4E-2</v>
      </c>
      <c r="AH273">
        <v>2</v>
      </c>
      <c r="AI273">
        <v>16808997</v>
      </c>
      <c r="AJ273">
        <v>296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ROW(Source!A199)</f>
        <v>199</v>
      </c>
      <c r="B274">
        <v>16809010</v>
      </c>
      <c r="C274">
        <v>16808993</v>
      </c>
      <c r="D274">
        <v>15167588</v>
      </c>
      <c r="E274">
        <v>1</v>
      </c>
      <c r="F274">
        <v>1</v>
      </c>
      <c r="G274">
        <v>1</v>
      </c>
      <c r="H274">
        <v>3</v>
      </c>
      <c r="I274" t="s">
        <v>727</v>
      </c>
      <c r="J274" t="s">
        <v>728</v>
      </c>
      <c r="K274" t="s">
        <v>729</v>
      </c>
      <c r="L274">
        <v>1346</v>
      </c>
      <c r="N274">
        <v>1009</v>
      </c>
      <c r="O274" t="s">
        <v>300</v>
      </c>
      <c r="P274" t="s">
        <v>300</v>
      </c>
      <c r="Q274">
        <v>1</v>
      </c>
      <c r="X274">
        <v>0.11</v>
      </c>
      <c r="Y274">
        <v>30.4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6</v>
      </c>
      <c r="AG274">
        <v>0.11</v>
      </c>
      <c r="AH274">
        <v>2</v>
      </c>
      <c r="AI274">
        <v>16808998</v>
      </c>
      <c r="AJ274">
        <v>297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ROW(Source!A199)</f>
        <v>199</v>
      </c>
      <c r="B275">
        <v>16809011</v>
      </c>
      <c r="C275">
        <v>16808993</v>
      </c>
      <c r="D275">
        <v>15170074</v>
      </c>
      <c r="E275">
        <v>1</v>
      </c>
      <c r="F275">
        <v>1</v>
      </c>
      <c r="G275">
        <v>1</v>
      </c>
      <c r="H275">
        <v>3</v>
      </c>
      <c r="I275" t="s">
        <v>946</v>
      </c>
      <c r="J275" t="s">
        <v>947</v>
      </c>
      <c r="K275" t="s">
        <v>948</v>
      </c>
      <c r="L275">
        <v>1355</v>
      </c>
      <c r="N275">
        <v>1010</v>
      </c>
      <c r="O275" t="s">
        <v>326</v>
      </c>
      <c r="P275" t="s">
        <v>326</v>
      </c>
      <c r="Q275">
        <v>100</v>
      </c>
      <c r="X275">
        <v>1.02</v>
      </c>
      <c r="Y275">
        <v>86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0</v>
      </c>
      <c r="AF275" t="s">
        <v>6</v>
      </c>
      <c r="AG275">
        <v>1.02</v>
      </c>
      <c r="AH275">
        <v>2</v>
      </c>
      <c r="AI275">
        <v>16808999</v>
      </c>
      <c r="AJ275">
        <v>298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ROW(Source!A199)</f>
        <v>199</v>
      </c>
      <c r="B276">
        <v>16809012</v>
      </c>
      <c r="C276">
        <v>16808993</v>
      </c>
      <c r="D276">
        <v>15170434</v>
      </c>
      <c r="E276">
        <v>1</v>
      </c>
      <c r="F276">
        <v>1</v>
      </c>
      <c r="G276">
        <v>1</v>
      </c>
      <c r="H276">
        <v>3</v>
      </c>
      <c r="I276" t="s">
        <v>949</v>
      </c>
      <c r="J276" t="s">
        <v>950</v>
      </c>
      <c r="K276" t="s">
        <v>951</v>
      </c>
      <c r="L276">
        <v>1348</v>
      </c>
      <c r="N276">
        <v>1009</v>
      </c>
      <c r="O276" t="s">
        <v>104</v>
      </c>
      <c r="P276" t="s">
        <v>104</v>
      </c>
      <c r="Q276">
        <v>1000</v>
      </c>
      <c r="X276">
        <v>1.6000000000000001E-4</v>
      </c>
      <c r="Y276">
        <v>29800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6</v>
      </c>
      <c r="AG276">
        <v>1.6000000000000001E-4</v>
      </c>
      <c r="AH276">
        <v>2</v>
      </c>
      <c r="AI276">
        <v>16809000</v>
      </c>
      <c r="AJ276">
        <v>299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ROW(Source!A199)</f>
        <v>199</v>
      </c>
      <c r="B277">
        <v>16809013</v>
      </c>
      <c r="C277">
        <v>16808993</v>
      </c>
      <c r="D277">
        <v>15170438</v>
      </c>
      <c r="E277">
        <v>1</v>
      </c>
      <c r="F277">
        <v>1</v>
      </c>
      <c r="G277">
        <v>1</v>
      </c>
      <c r="H277">
        <v>3</v>
      </c>
      <c r="I277" t="s">
        <v>745</v>
      </c>
      <c r="J277" t="s">
        <v>746</v>
      </c>
      <c r="K277" t="s">
        <v>747</v>
      </c>
      <c r="L277">
        <v>1348</v>
      </c>
      <c r="N277">
        <v>1009</v>
      </c>
      <c r="O277" t="s">
        <v>104</v>
      </c>
      <c r="P277" t="s">
        <v>104</v>
      </c>
      <c r="Q277">
        <v>1000</v>
      </c>
      <c r="X277">
        <v>2.9999999999999997E-4</v>
      </c>
      <c r="Y277">
        <v>12430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6</v>
      </c>
      <c r="AG277">
        <v>2.9999999999999997E-4</v>
      </c>
      <c r="AH277">
        <v>2</v>
      </c>
      <c r="AI277">
        <v>16809001</v>
      </c>
      <c r="AJ277">
        <v>300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ROW(Source!A199)</f>
        <v>199</v>
      </c>
      <c r="B278">
        <v>16809014</v>
      </c>
      <c r="C278">
        <v>16808993</v>
      </c>
      <c r="D278">
        <v>15164559</v>
      </c>
      <c r="E278">
        <v>17</v>
      </c>
      <c r="F278">
        <v>1</v>
      </c>
      <c r="G278">
        <v>1</v>
      </c>
      <c r="H278">
        <v>3</v>
      </c>
      <c r="I278" t="s">
        <v>736</v>
      </c>
      <c r="J278" t="s">
        <v>6</v>
      </c>
      <c r="K278" t="s">
        <v>737</v>
      </c>
      <c r="L278">
        <v>1374</v>
      </c>
      <c r="N278">
        <v>1013</v>
      </c>
      <c r="O278" t="s">
        <v>738</v>
      </c>
      <c r="P278" t="s">
        <v>738</v>
      </c>
      <c r="Q278">
        <v>1</v>
      </c>
      <c r="X278">
        <v>6.86</v>
      </c>
      <c r="Y278">
        <v>1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6</v>
      </c>
      <c r="AG278">
        <v>6.86</v>
      </c>
      <c r="AH278">
        <v>2</v>
      </c>
      <c r="AI278">
        <v>16809002</v>
      </c>
      <c r="AJ278">
        <v>303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ROW(Source!A202)</f>
        <v>202</v>
      </c>
      <c r="B279">
        <v>16809027</v>
      </c>
      <c r="C279">
        <v>16809017</v>
      </c>
      <c r="D279">
        <v>15446300</v>
      </c>
      <c r="E279">
        <v>1</v>
      </c>
      <c r="F279">
        <v>1</v>
      </c>
      <c r="G279">
        <v>1</v>
      </c>
      <c r="H279">
        <v>1</v>
      </c>
      <c r="I279" t="s">
        <v>944</v>
      </c>
      <c r="J279" t="s">
        <v>6</v>
      </c>
      <c r="K279" t="s">
        <v>945</v>
      </c>
      <c r="L279">
        <v>1191</v>
      </c>
      <c r="N279">
        <v>1013</v>
      </c>
      <c r="O279" t="s">
        <v>708</v>
      </c>
      <c r="P279" t="s">
        <v>708</v>
      </c>
      <c r="Q279">
        <v>1</v>
      </c>
      <c r="X279">
        <v>35.130000000000003</v>
      </c>
      <c r="Y279">
        <v>0</v>
      </c>
      <c r="Z279">
        <v>0</v>
      </c>
      <c r="AA279">
        <v>0</v>
      </c>
      <c r="AB279">
        <v>9.92</v>
      </c>
      <c r="AC279">
        <v>0</v>
      </c>
      <c r="AD279">
        <v>1</v>
      </c>
      <c r="AE279">
        <v>1</v>
      </c>
      <c r="AF279" t="s">
        <v>443</v>
      </c>
      <c r="AG279">
        <v>42.155999999999999</v>
      </c>
      <c r="AH279">
        <v>2</v>
      </c>
      <c r="AI279">
        <v>16809018</v>
      </c>
      <c r="AJ279">
        <v>304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ROW(Source!A202)</f>
        <v>202</v>
      </c>
      <c r="B280">
        <v>16809028</v>
      </c>
      <c r="C280">
        <v>16809017</v>
      </c>
      <c r="D280">
        <v>15430395</v>
      </c>
      <c r="E280">
        <v>1</v>
      </c>
      <c r="F280">
        <v>1</v>
      </c>
      <c r="G280">
        <v>1</v>
      </c>
      <c r="H280">
        <v>1</v>
      </c>
      <c r="I280" t="s">
        <v>709</v>
      </c>
      <c r="J280" t="s">
        <v>6</v>
      </c>
      <c r="K280" t="s">
        <v>710</v>
      </c>
      <c r="L280">
        <v>1191</v>
      </c>
      <c r="N280">
        <v>1013</v>
      </c>
      <c r="O280" t="s">
        <v>708</v>
      </c>
      <c r="P280" t="s">
        <v>708</v>
      </c>
      <c r="Q280">
        <v>1</v>
      </c>
      <c r="X280">
        <v>0.05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2</v>
      </c>
      <c r="AF280" t="s">
        <v>443</v>
      </c>
      <c r="AG280">
        <v>0.06</v>
      </c>
      <c r="AH280">
        <v>2</v>
      </c>
      <c r="AI280">
        <v>16809019</v>
      </c>
      <c r="AJ280">
        <v>305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ROW(Source!A202)</f>
        <v>202</v>
      </c>
      <c r="B281">
        <v>16809029</v>
      </c>
      <c r="C281">
        <v>16809017</v>
      </c>
      <c r="D281">
        <v>15247680</v>
      </c>
      <c r="E281">
        <v>1</v>
      </c>
      <c r="F281">
        <v>1</v>
      </c>
      <c r="G281">
        <v>1</v>
      </c>
      <c r="H281">
        <v>2</v>
      </c>
      <c r="I281" t="s">
        <v>721</v>
      </c>
      <c r="J281" t="s">
        <v>722</v>
      </c>
      <c r="K281" t="s">
        <v>723</v>
      </c>
      <c r="L281">
        <v>1368</v>
      </c>
      <c r="N281">
        <v>1011</v>
      </c>
      <c r="O281" t="s">
        <v>714</v>
      </c>
      <c r="P281" t="s">
        <v>714</v>
      </c>
      <c r="Q281">
        <v>1</v>
      </c>
      <c r="X281">
        <v>0.03</v>
      </c>
      <c r="Y281">
        <v>0</v>
      </c>
      <c r="Z281">
        <v>111.99</v>
      </c>
      <c r="AA281">
        <v>13.5</v>
      </c>
      <c r="AB281">
        <v>0</v>
      </c>
      <c r="AC281">
        <v>0</v>
      </c>
      <c r="AD281">
        <v>1</v>
      </c>
      <c r="AE281">
        <v>0</v>
      </c>
      <c r="AF281" t="s">
        <v>443</v>
      </c>
      <c r="AG281">
        <v>3.5999999999999997E-2</v>
      </c>
      <c r="AH281">
        <v>2</v>
      </c>
      <c r="AI281">
        <v>16809020</v>
      </c>
      <c r="AJ281">
        <v>306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ROW(Source!A202)</f>
        <v>202</v>
      </c>
      <c r="B282">
        <v>16809030</v>
      </c>
      <c r="C282">
        <v>16809017</v>
      </c>
      <c r="D282">
        <v>15249073</v>
      </c>
      <c r="E282">
        <v>1</v>
      </c>
      <c r="F282">
        <v>1</v>
      </c>
      <c r="G282">
        <v>1</v>
      </c>
      <c r="H282">
        <v>2</v>
      </c>
      <c r="I282" t="s">
        <v>724</v>
      </c>
      <c r="J282" t="s">
        <v>725</v>
      </c>
      <c r="K282" t="s">
        <v>726</v>
      </c>
      <c r="L282">
        <v>1368</v>
      </c>
      <c r="N282">
        <v>1011</v>
      </c>
      <c r="O282" t="s">
        <v>714</v>
      </c>
      <c r="P282" t="s">
        <v>714</v>
      </c>
      <c r="Q282">
        <v>1</v>
      </c>
      <c r="X282">
        <v>0.02</v>
      </c>
      <c r="Y282">
        <v>0</v>
      </c>
      <c r="Z282">
        <v>65.709999999999994</v>
      </c>
      <c r="AA282">
        <v>11.6</v>
      </c>
      <c r="AB282">
        <v>0</v>
      </c>
      <c r="AC282">
        <v>0</v>
      </c>
      <c r="AD282">
        <v>1</v>
      </c>
      <c r="AE282">
        <v>0</v>
      </c>
      <c r="AF282" t="s">
        <v>443</v>
      </c>
      <c r="AG282">
        <v>2.4E-2</v>
      </c>
      <c r="AH282">
        <v>2</v>
      </c>
      <c r="AI282">
        <v>16809021</v>
      </c>
      <c r="AJ282">
        <v>307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ROW(Source!A202)</f>
        <v>202</v>
      </c>
      <c r="B283">
        <v>16809031</v>
      </c>
      <c r="C283">
        <v>16809017</v>
      </c>
      <c r="D283">
        <v>15170074</v>
      </c>
      <c r="E283">
        <v>1</v>
      </c>
      <c r="F283">
        <v>1</v>
      </c>
      <c r="G283">
        <v>1</v>
      </c>
      <c r="H283">
        <v>3</v>
      </c>
      <c r="I283" t="s">
        <v>946</v>
      </c>
      <c r="J283" t="s">
        <v>947</v>
      </c>
      <c r="K283" t="s">
        <v>948</v>
      </c>
      <c r="L283">
        <v>1355</v>
      </c>
      <c r="N283">
        <v>1010</v>
      </c>
      <c r="O283" t="s">
        <v>326</v>
      </c>
      <c r="P283" t="s">
        <v>326</v>
      </c>
      <c r="Q283">
        <v>100</v>
      </c>
      <c r="X283">
        <v>1.02</v>
      </c>
      <c r="Y283">
        <v>86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0</v>
      </c>
      <c r="AF283" t="s">
        <v>6</v>
      </c>
      <c r="AG283">
        <v>1.02</v>
      </c>
      <c r="AH283">
        <v>2</v>
      </c>
      <c r="AI283">
        <v>16809022</v>
      </c>
      <c r="AJ283">
        <v>308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ROW(Source!A202)</f>
        <v>202</v>
      </c>
      <c r="B284">
        <v>16809032</v>
      </c>
      <c r="C284">
        <v>16809017</v>
      </c>
      <c r="D284">
        <v>15170434</v>
      </c>
      <c r="E284">
        <v>1</v>
      </c>
      <c r="F284">
        <v>1</v>
      </c>
      <c r="G284">
        <v>1</v>
      </c>
      <c r="H284">
        <v>3</v>
      </c>
      <c r="I284" t="s">
        <v>949</v>
      </c>
      <c r="J284" t="s">
        <v>950</v>
      </c>
      <c r="K284" t="s">
        <v>951</v>
      </c>
      <c r="L284">
        <v>1348</v>
      </c>
      <c r="N284">
        <v>1009</v>
      </c>
      <c r="O284" t="s">
        <v>104</v>
      </c>
      <c r="P284" t="s">
        <v>104</v>
      </c>
      <c r="Q284">
        <v>1000</v>
      </c>
      <c r="X284">
        <v>1.6000000000000001E-4</v>
      </c>
      <c r="Y284">
        <v>29800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6</v>
      </c>
      <c r="AG284">
        <v>1.6000000000000001E-4</v>
      </c>
      <c r="AH284">
        <v>2</v>
      </c>
      <c r="AI284">
        <v>16809023</v>
      </c>
      <c r="AJ284">
        <v>309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ROW(Source!A202)</f>
        <v>202</v>
      </c>
      <c r="B285">
        <v>16809033</v>
      </c>
      <c r="C285">
        <v>16809017</v>
      </c>
      <c r="D285">
        <v>15170438</v>
      </c>
      <c r="E285">
        <v>1</v>
      </c>
      <c r="F285">
        <v>1</v>
      </c>
      <c r="G285">
        <v>1</v>
      </c>
      <c r="H285">
        <v>3</v>
      </c>
      <c r="I285" t="s">
        <v>745</v>
      </c>
      <c r="J285" t="s">
        <v>746</v>
      </c>
      <c r="K285" t="s">
        <v>747</v>
      </c>
      <c r="L285">
        <v>1348</v>
      </c>
      <c r="N285">
        <v>1009</v>
      </c>
      <c r="O285" t="s">
        <v>104</v>
      </c>
      <c r="P285" t="s">
        <v>104</v>
      </c>
      <c r="Q285">
        <v>1000</v>
      </c>
      <c r="X285">
        <v>2.9999999999999997E-4</v>
      </c>
      <c r="Y285">
        <v>12430</v>
      </c>
      <c r="Z285">
        <v>0</v>
      </c>
      <c r="AA285">
        <v>0</v>
      </c>
      <c r="AB285">
        <v>0</v>
      </c>
      <c r="AC285">
        <v>0</v>
      </c>
      <c r="AD285">
        <v>1</v>
      </c>
      <c r="AE285">
        <v>0</v>
      </c>
      <c r="AF285" t="s">
        <v>6</v>
      </c>
      <c r="AG285">
        <v>2.9999999999999997E-4</v>
      </c>
      <c r="AH285">
        <v>2</v>
      </c>
      <c r="AI285">
        <v>16809024</v>
      </c>
      <c r="AJ285">
        <v>310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ROW(Source!A202)</f>
        <v>202</v>
      </c>
      <c r="B286">
        <v>16809034</v>
      </c>
      <c r="C286">
        <v>16809017</v>
      </c>
      <c r="D286">
        <v>15164559</v>
      </c>
      <c r="E286">
        <v>17</v>
      </c>
      <c r="F286">
        <v>1</v>
      </c>
      <c r="G286">
        <v>1</v>
      </c>
      <c r="H286">
        <v>3</v>
      </c>
      <c r="I286" t="s">
        <v>736</v>
      </c>
      <c r="J286" t="s">
        <v>6</v>
      </c>
      <c r="K286" t="s">
        <v>737</v>
      </c>
      <c r="L286">
        <v>1374</v>
      </c>
      <c r="N286">
        <v>1013</v>
      </c>
      <c r="O286" t="s">
        <v>738</v>
      </c>
      <c r="P286" t="s">
        <v>738</v>
      </c>
      <c r="Q286">
        <v>1</v>
      </c>
      <c r="X286">
        <v>6.97</v>
      </c>
      <c r="Y286">
        <v>1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6</v>
      </c>
      <c r="AG286">
        <v>6.97</v>
      </c>
      <c r="AH286">
        <v>2</v>
      </c>
      <c r="AI286">
        <v>16809025</v>
      </c>
      <c r="AJ286">
        <v>312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ROW(Source!A204)</f>
        <v>204</v>
      </c>
      <c r="B287">
        <v>16809039</v>
      </c>
      <c r="C287">
        <v>16809037</v>
      </c>
      <c r="D287">
        <v>15430517</v>
      </c>
      <c r="E287">
        <v>1</v>
      </c>
      <c r="F287">
        <v>1</v>
      </c>
      <c r="G287">
        <v>1</v>
      </c>
      <c r="H287">
        <v>1</v>
      </c>
      <c r="I287" t="s">
        <v>717</v>
      </c>
      <c r="J287" t="s">
        <v>6</v>
      </c>
      <c r="K287" t="s">
        <v>718</v>
      </c>
      <c r="L287">
        <v>1191</v>
      </c>
      <c r="N287">
        <v>1013</v>
      </c>
      <c r="O287" t="s">
        <v>708</v>
      </c>
      <c r="P287" t="s">
        <v>708</v>
      </c>
      <c r="Q287">
        <v>1</v>
      </c>
      <c r="X287">
        <v>119.7</v>
      </c>
      <c r="Y287">
        <v>0</v>
      </c>
      <c r="Z287">
        <v>0</v>
      </c>
      <c r="AA287">
        <v>0</v>
      </c>
      <c r="AB287">
        <v>7.8</v>
      </c>
      <c r="AC287">
        <v>0</v>
      </c>
      <c r="AD287">
        <v>1</v>
      </c>
      <c r="AE287">
        <v>1</v>
      </c>
      <c r="AF287" t="s">
        <v>6</v>
      </c>
      <c r="AG287">
        <v>119.7</v>
      </c>
      <c r="AH287">
        <v>2</v>
      </c>
      <c r="AI287">
        <v>16809038</v>
      </c>
      <c r="AJ287">
        <v>313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ROW(Source!A204)</f>
        <v>204</v>
      </c>
      <c r="B288">
        <v>16809040</v>
      </c>
      <c r="C288">
        <v>16809037</v>
      </c>
      <c r="D288">
        <v>15164566</v>
      </c>
      <c r="E288">
        <v>17</v>
      </c>
      <c r="F288">
        <v>1</v>
      </c>
      <c r="G288">
        <v>1</v>
      </c>
      <c r="H288">
        <v>3</v>
      </c>
      <c r="I288" t="s">
        <v>102</v>
      </c>
      <c r="J288" t="s">
        <v>6</v>
      </c>
      <c r="K288" t="s">
        <v>1034</v>
      </c>
      <c r="L288">
        <v>1348</v>
      </c>
      <c r="N288">
        <v>1009</v>
      </c>
      <c r="O288" t="s">
        <v>104</v>
      </c>
      <c r="P288" t="s">
        <v>104</v>
      </c>
      <c r="Q288">
        <v>1000</v>
      </c>
      <c r="X288">
        <v>0.15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 t="s">
        <v>6</v>
      </c>
      <c r="AG288">
        <v>0.15</v>
      </c>
      <c r="AH288">
        <v>3</v>
      </c>
      <c r="AI288">
        <v>-1</v>
      </c>
      <c r="AJ288" t="s">
        <v>6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ROW(Source!A205)</f>
        <v>205</v>
      </c>
      <c r="B289">
        <v>16809052</v>
      </c>
      <c r="C289">
        <v>16809042</v>
      </c>
      <c r="D289">
        <v>15430397</v>
      </c>
      <c r="E289">
        <v>1</v>
      </c>
      <c r="F289">
        <v>1</v>
      </c>
      <c r="G289">
        <v>1</v>
      </c>
      <c r="H289">
        <v>1</v>
      </c>
      <c r="I289" t="s">
        <v>927</v>
      </c>
      <c r="J289" t="s">
        <v>6</v>
      </c>
      <c r="K289" t="s">
        <v>928</v>
      </c>
      <c r="L289">
        <v>1191</v>
      </c>
      <c r="N289">
        <v>1013</v>
      </c>
      <c r="O289" t="s">
        <v>708</v>
      </c>
      <c r="P289" t="s">
        <v>708</v>
      </c>
      <c r="Q289">
        <v>1</v>
      </c>
      <c r="X289">
        <v>19.04</v>
      </c>
      <c r="Y289">
        <v>0</v>
      </c>
      <c r="Z289">
        <v>0</v>
      </c>
      <c r="AA289">
        <v>0</v>
      </c>
      <c r="AB289">
        <v>9.4</v>
      </c>
      <c r="AC289">
        <v>0</v>
      </c>
      <c r="AD289">
        <v>1</v>
      </c>
      <c r="AE289">
        <v>1</v>
      </c>
      <c r="AF289" t="s">
        <v>443</v>
      </c>
      <c r="AG289">
        <v>22.847999999999999</v>
      </c>
      <c r="AH289">
        <v>2</v>
      </c>
      <c r="AI289">
        <v>16809043</v>
      </c>
      <c r="AJ289">
        <v>314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ROW(Source!A205)</f>
        <v>205</v>
      </c>
      <c r="B290">
        <v>16809053</v>
      </c>
      <c r="C290">
        <v>16809042</v>
      </c>
      <c r="D290">
        <v>15430395</v>
      </c>
      <c r="E290">
        <v>1</v>
      </c>
      <c r="F290">
        <v>1</v>
      </c>
      <c r="G290">
        <v>1</v>
      </c>
      <c r="H290">
        <v>1</v>
      </c>
      <c r="I290" t="s">
        <v>709</v>
      </c>
      <c r="J290" t="s">
        <v>6</v>
      </c>
      <c r="K290" t="s">
        <v>710</v>
      </c>
      <c r="L290">
        <v>1191</v>
      </c>
      <c r="N290">
        <v>1013</v>
      </c>
      <c r="O290" t="s">
        <v>708</v>
      </c>
      <c r="P290" t="s">
        <v>708</v>
      </c>
      <c r="Q290">
        <v>1</v>
      </c>
      <c r="X290">
        <v>0.18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2</v>
      </c>
      <c r="AF290" t="s">
        <v>443</v>
      </c>
      <c r="AG290">
        <v>0.216</v>
      </c>
      <c r="AH290">
        <v>2</v>
      </c>
      <c r="AI290">
        <v>16809044</v>
      </c>
      <c r="AJ290">
        <v>315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ROW(Source!A205)</f>
        <v>205</v>
      </c>
      <c r="B291">
        <v>16809054</v>
      </c>
      <c r="C291">
        <v>16809042</v>
      </c>
      <c r="D291">
        <v>15247680</v>
      </c>
      <c r="E291">
        <v>1</v>
      </c>
      <c r="F291">
        <v>1</v>
      </c>
      <c r="G291">
        <v>1</v>
      </c>
      <c r="H291">
        <v>2</v>
      </c>
      <c r="I291" t="s">
        <v>721</v>
      </c>
      <c r="J291" t="s">
        <v>722</v>
      </c>
      <c r="K291" t="s">
        <v>723</v>
      </c>
      <c r="L291">
        <v>1368</v>
      </c>
      <c r="N291">
        <v>1011</v>
      </c>
      <c r="O291" t="s">
        <v>714</v>
      </c>
      <c r="P291" t="s">
        <v>714</v>
      </c>
      <c r="Q291">
        <v>1</v>
      </c>
      <c r="X291">
        <v>0.09</v>
      </c>
      <c r="Y291">
        <v>0</v>
      </c>
      <c r="Z291">
        <v>111.99</v>
      </c>
      <c r="AA291">
        <v>13.5</v>
      </c>
      <c r="AB291">
        <v>0</v>
      </c>
      <c r="AC291">
        <v>0</v>
      </c>
      <c r="AD291">
        <v>1</v>
      </c>
      <c r="AE291">
        <v>0</v>
      </c>
      <c r="AF291" t="s">
        <v>443</v>
      </c>
      <c r="AG291">
        <v>0.108</v>
      </c>
      <c r="AH291">
        <v>2</v>
      </c>
      <c r="AI291">
        <v>16809045</v>
      </c>
      <c r="AJ291">
        <v>316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ROW(Source!A205)</f>
        <v>205</v>
      </c>
      <c r="B292">
        <v>16809055</v>
      </c>
      <c r="C292">
        <v>16809042</v>
      </c>
      <c r="D292">
        <v>15249073</v>
      </c>
      <c r="E292">
        <v>1</v>
      </c>
      <c r="F292">
        <v>1</v>
      </c>
      <c r="G292">
        <v>1</v>
      </c>
      <c r="H292">
        <v>2</v>
      </c>
      <c r="I292" t="s">
        <v>724</v>
      </c>
      <c r="J292" t="s">
        <v>725</v>
      </c>
      <c r="K292" t="s">
        <v>726</v>
      </c>
      <c r="L292">
        <v>1368</v>
      </c>
      <c r="N292">
        <v>1011</v>
      </c>
      <c r="O292" t="s">
        <v>714</v>
      </c>
      <c r="P292" t="s">
        <v>714</v>
      </c>
      <c r="Q292">
        <v>1</v>
      </c>
      <c r="X292">
        <v>0.09</v>
      </c>
      <c r="Y292">
        <v>0</v>
      </c>
      <c r="Z292">
        <v>65.709999999999994</v>
      </c>
      <c r="AA292">
        <v>11.6</v>
      </c>
      <c r="AB292">
        <v>0</v>
      </c>
      <c r="AC292">
        <v>0</v>
      </c>
      <c r="AD292">
        <v>1</v>
      </c>
      <c r="AE292">
        <v>0</v>
      </c>
      <c r="AF292" t="s">
        <v>443</v>
      </c>
      <c r="AG292">
        <v>0.108</v>
      </c>
      <c r="AH292">
        <v>2</v>
      </c>
      <c r="AI292">
        <v>16809046</v>
      </c>
      <c r="AJ292">
        <v>317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ROW(Source!A205)</f>
        <v>205</v>
      </c>
      <c r="B293">
        <v>16809056</v>
      </c>
      <c r="C293">
        <v>16809042</v>
      </c>
      <c r="D293">
        <v>15249377</v>
      </c>
      <c r="E293">
        <v>1</v>
      </c>
      <c r="F293">
        <v>1</v>
      </c>
      <c r="G293">
        <v>1</v>
      </c>
      <c r="H293">
        <v>2</v>
      </c>
      <c r="I293" t="s">
        <v>952</v>
      </c>
      <c r="J293" t="s">
        <v>953</v>
      </c>
      <c r="K293" t="s">
        <v>954</v>
      </c>
      <c r="L293">
        <v>1368</v>
      </c>
      <c r="N293">
        <v>1011</v>
      </c>
      <c r="O293" t="s">
        <v>714</v>
      </c>
      <c r="P293" t="s">
        <v>714</v>
      </c>
      <c r="Q293">
        <v>1</v>
      </c>
      <c r="X293">
        <v>2.16</v>
      </c>
      <c r="Y293">
        <v>0</v>
      </c>
      <c r="Z293">
        <v>8.1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443</v>
      </c>
      <c r="AG293">
        <v>2.5920000000000001</v>
      </c>
      <c r="AH293">
        <v>2</v>
      </c>
      <c r="AI293">
        <v>16809047</v>
      </c>
      <c r="AJ293">
        <v>318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ROW(Source!A205)</f>
        <v>205</v>
      </c>
      <c r="B294">
        <v>16809057</v>
      </c>
      <c r="C294">
        <v>16809042</v>
      </c>
      <c r="D294">
        <v>15168752</v>
      </c>
      <c r="E294">
        <v>1</v>
      </c>
      <c r="F294">
        <v>1</v>
      </c>
      <c r="G294">
        <v>1</v>
      </c>
      <c r="H294">
        <v>3</v>
      </c>
      <c r="I294" t="s">
        <v>955</v>
      </c>
      <c r="J294" t="s">
        <v>956</v>
      </c>
      <c r="K294" t="s">
        <v>957</v>
      </c>
      <c r="L294">
        <v>1346</v>
      </c>
      <c r="N294">
        <v>1009</v>
      </c>
      <c r="O294" t="s">
        <v>300</v>
      </c>
      <c r="P294" t="s">
        <v>300</v>
      </c>
      <c r="Q294">
        <v>1</v>
      </c>
      <c r="X294">
        <v>0.96</v>
      </c>
      <c r="Y294">
        <v>10.57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6</v>
      </c>
      <c r="AG294">
        <v>0.96</v>
      </c>
      <c r="AH294">
        <v>2</v>
      </c>
      <c r="AI294">
        <v>16809048</v>
      </c>
      <c r="AJ294">
        <v>319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ROW(Source!A205)</f>
        <v>205</v>
      </c>
      <c r="B295">
        <v>16809058</v>
      </c>
      <c r="C295">
        <v>16809042</v>
      </c>
      <c r="D295">
        <v>15202442</v>
      </c>
      <c r="E295">
        <v>1</v>
      </c>
      <c r="F295">
        <v>1</v>
      </c>
      <c r="G295">
        <v>1</v>
      </c>
      <c r="H295">
        <v>3</v>
      </c>
      <c r="I295" t="s">
        <v>958</v>
      </c>
      <c r="J295" t="s">
        <v>959</v>
      </c>
      <c r="K295" t="s">
        <v>960</v>
      </c>
      <c r="L295">
        <v>1346</v>
      </c>
      <c r="N295">
        <v>1009</v>
      </c>
      <c r="O295" t="s">
        <v>300</v>
      </c>
      <c r="P295" t="s">
        <v>300</v>
      </c>
      <c r="Q295">
        <v>1</v>
      </c>
      <c r="X295">
        <v>0.2</v>
      </c>
      <c r="Y295">
        <v>25.8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6</v>
      </c>
      <c r="AG295">
        <v>0.2</v>
      </c>
      <c r="AH295">
        <v>2</v>
      </c>
      <c r="AI295">
        <v>16809049</v>
      </c>
      <c r="AJ295">
        <v>320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ROW(Source!A205)</f>
        <v>205</v>
      </c>
      <c r="B296">
        <v>16809059</v>
      </c>
      <c r="C296">
        <v>16809042</v>
      </c>
      <c r="D296">
        <v>15164559</v>
      </c>
      <c r="E296">
        <v>17</v>
      </c>
      <c r="F296">
        <v>1</v>
      </c>
      <c r="G296">
        <v>1</v>
      </c>
      <c r="H296">
        <v>3</v>
      </c>
      <c r="I296" t="s">
        <v>736</v>
      </c>
      <c r="J296" t="s">
        <v>6</v>
      </c>
      <c r="K296" t="s">
        <v>737</v>
      </c>
      <c r="L296">
        <v>1374</v>
      </c>
      <c r="N296">
        <v>1013</v>
      </c>
      <c r="O296" t="s">
        <v>738</v>
      </c>
      <c r="P296" t="s">
        <v>738</v>
      </c>
      <c r="Q296">
        <v>1</v>
      </c>
      <c r="X296">
        <v>3.58</v>
      </c>
      <c r="Y296">
        <v>1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6</v>
      </c>
      <c r="AG296">
        <v>3.58</v>
      </c>
      <c r="AH296">
        <v>2</v>
      </c>
      <c r="AI296">
        <v>16809050</v>
      </c>
      <c r="AJ296">
        <v>322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ROW(Source!A207)</f>
        <v>207</v>
      </c>
      <c r="B297">
        <v>16809070</v>
      </c>
      <c r="C297">
        <v>16809062</v>
      </c>
      <c r="D297">
        <v>15446300</v>
      </c>
      <c r="E297">
        <v>1</v>
      </c>
      <c r="F297">
        <v>1</v>
      </c>
      <c r="G297">
        <v>1</v>
      </c>
      <c r="H297">
        <v>1</v>
      </c>
      <c r="I297" t="s">
        <v>944</v>
      </c>
      <c r="J297" t="s">
        <v>6</v>
      </c>
      <c r="K297" t="s">
        <v>945</v>
      </c>
      <c r="L297">
        <v>1191</v>
      </c>
      <c r="N297">
        <v>1013</v>
      </c>
      <c r="O297" t="s">
        <v>708</v>
      </c>
      <c r="P297" t="s">
        <v>708</v>
      </c>
      <c r="Q297">
        <v>1</v>
      </c>
      <c r="X297">
        <v>148</v>
      </c>
      <c r="Y297">
        <v>0</v>
      </c>
      <c r="Z297">
        <v>0</v>
      </c>
      <c r="AA297">
        <v>0</v>
      </c>
      <c r="AB297">
        <v>9.92</v>
      </c>
      <c r="AC297">
        <v>0</v>
      </c>
      <c r="AD297">
        <v>1</v>
      </c>
      <c r="AE297">
        <v>1</v>
      </c>
      <c r="AF297" t="s">
        <v>443</v>
      </c>
      <c r="AG297">
        <v>177.6</v>
      </c>
      <c r="AH297">
        <v>2</v>
      </c>
      <c r="AI297">
        <v>16809063</v>
      </c>
      <c r="AJ297">
        <v>323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ROW(Source!A207)</f>
        <v>207</v>
      </c>
      <c r="B298">
        <v>16809071</v>
      </c>
      <c r="C298">
        <v>16809062</v>
      </c>
      <c r="D298">
        <v>15430395</v>
      </c>
      <c r="E298">
        <v>1</v>
      </c>
      <c r="F298">
        <v>1</v>
      </c>
      <c r="G298">
        <v>1</v>
      </c>
      <c r="H298">
        <v>1</v>
      </c>
      <c r="I298" t="s">
        <v>709</v>
      </c>
      <c r="J298" t="s">
        <v>6</v>
      </c>
      <c r="K298" t="s">
        <v>710</v>
      </c>
      <c r="L298">
        <v>1191</v>
      </c>
      <c r="N298">
        <v>1013</v>
      </c>
      <c r="O298" t="s">
        <v>708</v>
      </c>
      <c r="P298" t="s">
        <v>708</v>
      </c>
      <c r="Q298">
        <v>1</v>
      </c>
      <c r="X298">
        <v>0.6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2</v>
      </c>
      <c r="AF298" t="s">
        <v>443</v>
      </c>
      <c r="AG298">
        <v>0.72</v>
      </c>
      <c r="AH298">
        <v>2</v>
      </c>
      <c r="AI298">
        <v>16809064</v>
      </c>
      <c r="AJ298">
        <v>324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ROW(Source!A207)</f>
        <v>207</v>
      </c>
      <c r="B299">
        <v>16809072</v>
      </c>
      <c r="C299">
        <v>16809062</v>
      </c>
      <c r="D299">
        <v>15247680</v>
      </c>
      <c r="E299">
        <v>1</v>
      </c>
      <c r="F299">
        <v>1</v>
      </c>
      <c r="G299">
        <v>1</v>
      </c>
      <c r="H299">
        <v>2</v>
      </c>
      <c r="I299" t="s">
        <v>721</v>
      </c>
      <c r="J299" t="s">
        <v>722</v>
      </c>
      <c r="K299" t="s">
        <v>723</v>
      </c>
      <c r="L299">
        <v>1368</v>
      </c>
      <c r="N299">
        <v>1011</v>
      </c>
      <c r="O299" t="s">
        <v>714</v>
      </c>
      <c r="P299" t="s">
        <v>714</v>
      </c>
      <c r="Q299">
        <v>1</v>
      </c>
      <c r="X299">
        <v>0.3</v>
      </c>
      <c r="Y299">
        <v>0</v>
      </c>
      <c r="Z299">
        <v>111.99</v>
      </c>
      <c r="AA299">
        <v>13.5</v>
      </c>
      <c r="AB299">
        <v>0</v>
      </c>
      <c r="AC299">
        <v>0</v>
      </c>
      <c r="AD299">
        <v>1</v>
      </c>
      <c r="AE299">
        <v>0</v>
      </c>
      <c r="AF299" t="s">
        <v>443</v>
      </c>
      <c r="AG299">
        <v>0.36</v>
      </c>
      <c r="AH299">
        <v>2</v>
      </c>
      <c r="AI299">
        <v>16809065</v>
      </c>
      <c r="AJ299">
        <v>325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ROW(Source!A207)</f>
        <v>207</v>
      </c>
      <c r="B300">
        <v>16809073</v>
      </c>
      <c r="C300">
        <v>16809062</v>
      </c>
      <c r="D300">
        <v>15249073</v>
      </c>
      <c r="E300">
        <v>1</v>
      </c>
      <c r="F300">
        <v>1</v>
      </c>
      <c r="G300">
        <v>1</v>
      </c>
      <c r="H300">
        <v>2</v>
      </c>
      <c r="I300" t="s">
        <v>724</v>
      </c>
      <c r="J300" t="s">
        <v>725</v>
      </c>
      <c r="K300" t="s">
        <v>726</v>
      </c>
      <c r="L300">
        <v>1368</v>
      </c>
      <c r="N300">
        <v>1011</v>
      </c>
      <c r="O300" t="s">
        <v>714</v>
      </c>
      <c r="P300" t="s">
        <v>714</v>
      </c>
      <c r="Q300">
        <v>1</v>
      </c>
      <c r="X300">
        <v>0.3</v>
      </c>
      <c r="Y300">
        <v>0</v>
      </c>
      <c r="Z300">
        <v>65.709999999999994</v>
      </c>
      <c r="AA300">
        <v>11.6</v>
      </c>
      <c r="AB300">
        <v>0</v>
      </c>
      <c r="AC300">
        <v>0</v>
      </c>
      <c r="AD300">
        <v>1</v>
      </c>
      <c r="AE300">
        <v>0</v>
      </c>
      <c r="AF300" t="s">
        <v>443</v>
      </c>
      <c r="AG300">
        <v>0.36</v>
      </c>
      <c r="AH300">
        <v>2</v>
      </c>
      <c r="AI300">
        <v>16809066</v>
      </c>
      <c r="AJ300">
        <v>326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ROW(Source!A207)</f>
        <v>207</v>
      </c>
      <c r="B301">
        <v>16809074</v>
      </c>
      <c r="C301">
        <v>16809062</v>
      </c>
      <c r="D301">
        <v>15171982</v>
      </c>
      <c r="E301">
        <v>1</v>
      </c>
      <c r="F301">
        <v>1</v>
      </c>
      <c r="G301">
        <v>1</v>
      </c>
      <c r="H301">
        <v>3</v>
      </c>
      <c r="I301" t="s">
        <v>756</v>
      </c>
      <c r="J301" t="s">
        <v>757</v>
      </c>
      <c r="K301" t="s">
        <v>758</v>
      </c>
      <c r="L301">
        <v>1348</v>
      </c>
      <c r="N301">
        <v>1009</v>
      </c>
      <c r="O301" t="s">
        <v>104</v>
      </c>
      <c r="P301" t="s">
        <v>104</v>
      </c>
      <c r="Q301">
        <v>1000</v>
      </c>
      <c r="X301">
        <v>3.15E-3</v>
      </c>
      <c r="Y301">
        <v>729.98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6</v>
      </c>
      <c r="AG301">
        <v>3.15E-3</v>
      </c>
      <c r="AH301">
        <v>2</v>
      </c>
      <c r="AI301">
        <v>16809067</v>
      </c>
      <c r="AJ301">
        <v>327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ROW(Source!A207)</f>
        <v>207</v>
      </c>
      <c r="B302">
        <v>16809075</v>
      </c>
      <c r="C302">
        <v>16809062</v>
      </c>
      <c r="D302">
        <v>15233312</v>
      </c>
      <c r="E302">
        <v>1</v>
      </c>
      <c r="F302">
        <v>1</v>
      </c>
      <c r="G302">
        <v>1</v>
      </c>
      <c r="H302">
        <v>3</v>
      </c>
      <c r="I302" t="s">
        <v>961</v>
      </c>
      <c r="J302" t="s">
        <v>962</v>
      </c>
      <c r="K302" t="s">
        <v>963</v>
      </c>
      <c r="L302">
        <v>1346</v>
      </c>
      <c r="N302">
        <v>1009</v>
      </c>
      <c r="O302" t="s">
        <v>300</v>
      </c>
      <c r="P302" t="s">
        <v>300</v>
      </c>
      <c r="Q302">
        <v>1</v>
      </c>
      <c r="X302">
        <v>3.09</v>
      </c>
      <c r="Y302">
        <v>35.700000000000003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6</v>
      </c>
      <c r="AG302">
        <v>3.09</v>
      </c>
      <c r="AH302">
        <v>2</v>
      </c>
      <c r="AI302">
        <v>16809068</v>
      </c>
      <c r="AJ302">
        <v>328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ROW(Source!A207)</f>
        <v>207</v>
      </c>
      <c r="B303">
        <v>16809076</v>
      </c>
      <c r="C303">
        <v>16809062</v>
      </c>
      <c r="D303">
        <v>15164559</v>
      </c>
      <c r="E303">
        <v>17</v>
      </c>
      <c r="F303">
        <v>1</v>
      </c>
      <c r="G303">
        <v>1</v>
      </c>
      <c r="H303">
        <v>3</v>
      </c>
      <c r="I303" t="s">
        <v>736</v>
      </c>
      <c r="J303" t="s">
        <v>6</v>
      </c>
      <c r="K303" t="s">
        <v>737</v>
      </c>
      <c r="L303">
        <v>1374</v>
      </c>
      <c r="N303">
        <v>1013</v>
      </c>
      <c r="O303" t="s">
        <v>738</v>
      </c>
      <c r="P303" t="s">
        <v>738</v>
      </c>
      <c r="Q303">
        <v>1</v>
      </c>
      <c r="X303">
        <v>29.36</v>
      </c>
      <c r="Y303">
        <v>1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6</v>
      </c>
      <c r="AG303">
        <v>29.36</v>
      </c>
      <c r="AH303">
        <v>2</v>
      </c>
      <c r="AI303">
        <v>16809069</v>
      </c>
      <c r="AJ303">
        <v>329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ROW(Source!A208)</f>
        <v>208</v>
      </c>
      <c r="B304">
        <v>16809088</v>
      </c>
      <c r="C304">
        <v>16809078</v>
      </c>
      <c r="D304">
        <v>15442878</v>
      </c>
      <c r="E304">
        <v>1</v>
      </c>
      <c r="F304">
        <v>1</v>
      </c>
      <c r="G304">
        <v>1</v>
      </c>
      <c r="H304">
        <v>1</v>
      </c>
      <c r="I304" t="s">
        <v>719</v>
      </c>
      <c r="J304" t="s">
        <v>6</v>
      </c>
      <c r="K304" t="s">
        <v>720</v>
      </c>
      <c r="L304">
        <v>1191</v>
      </c>
      <c r="N304">
        <v>1013</v>
      </c>
      <c r="O304" t="s">
        <v>708</v>
      </c>
      <c r="P304" t="s">
        <v>708</v>
      </c>
      <c r="Q304">
        <v>1</v>
      </c>
      <c r="X304">
        <v>0.9</v>
      </c>
      <c r="Y304">
        <v>0</v>
      </c>
      <c r="Z304">
        <v>0</v>
      </c>
      <c r="AA304">
        <v>0</v>
      </c>
      <c r="AB304">
        <v>10.5</v>
      </c>
      <c r="AC304">
        <v>0</v>
      </c>
      <c r="AD304">
        <v>1</v>
      </c>
      <c r="AE304">
        <v>1</v>
      </c>
      <c r="AF304" t="s">
        <v>443</v>
      </c>
      <c r="AG304">
        <v>1.08</v>
      </c>
      <c r="AH304">
        <v>2</v>
      </c>
      <c r="AI304">
        <v>16809079</v>
      </c>
      <c r="AJ304">
        <v>330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ROW(Source!A208)</f>
        <v>208</v>
      </c>
      <c r="B305">
        <v>16809089</v>
      </c>
      <c r="C305">
        <v>16809078</v>
      </c>
      <c r="D305">
        <v>15430395</v>
      </c>
      <c r="E305">
        <v>1</v>
      </c>
      <c r="F305">
        <v>1</v>
      </c>
      <c r="G305">
        <v>1</v>
      </c>
      <c r="H305">
        <v>1</v>
      </c>
      <c r="I305" t="s">
        <v>709</v>
      </c>
      <c r="J305" t="s">
        <v>6</v>
      </c>
      <c r="K305" t="s">
        <v>710</v>
      </c>
      <c r="L305">
        <v>1191</v>
      </c>
      <c r="N305">
        <v>1013</v>
      </c>
      <c r="O305" t="s">
        <v>708</v>
      </c>
      <c r="P305" t="s">
        <v>708</v>
      </c>
      <c r="Q305">
        <v>1</v>
      </c>
      <c r="X305">
        <v>0.2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2</v>
      </c>
      <c r="AF305" t="s">
        <v>443</v>
      </c>
      <c r="AG305">
        <v>0.24</v>
      </c>
      <c r="AH305">
        <v>2</v>
      </c>
      <c r="AI305">
        <v>16809080</v>
      </c>
      <c r="AJ305">
        <v>331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ROW(Source!A208)</f>
        <v>208</v>
      </c>
      <c r="B306">
        <v>16809090</v>
      </c>
      <c r="C306">
        <v>16809078</v>
      </c>
      <c r="D306">
        <v>15247680</v>
      </c>
      <c r="E306">
        <v>1</v>
      </c>
      <c r="F306">
        <v>1</v>
      </c>
      <c r="G306">
        <v>1</v>
      </c>
      <c r="H306">
        <v>2</v>
      </c>
      <c r="I306" t="s">
        <v>721</v>
      </c>
      <c r="J306" t="s">
        <v>722</v>
      </c>
      <c r="K306" t="s">
        <v>723</v>
      </c>
      <c r="L306">
        <v>1368</v>
      </c>
      <c r="N306">
        <v>1011</v>
      </c>
      <c r="O306" t="s">
        <v>714</v>
      </c>
      <c r="P306" t="s">
        <v>714</v>
      </c>
      <c r="Q306">
        <v>1</v>
      </c>
      <c r="X306">
        <v>0.1</v>
      </c>
      <c r="Y306">
        <v>0</v>
      </c>
      <c r="Z306">
        <v>111.99</v>
      </c>
      <c r="AA306">
        <v>13.5</v>
      </c>
      <c r="AB306">
        <v>0</v>
      </c>
      <c r="AC306">
        <v>0</v>
      </c>
      <c r="AD306">
        <v>1</v>
      </c>
      <c r="AE306">
        <v>0</v>
      </c>
      <c r="AF306" t="s">
        <v>443</v>
      </c>
      <c r="AG306">
        <v>0.12</v>
      </c>
      <c r="AH306">
        <v>2</v>
      </c>
      <c r="AI306">
        <v>16809081</v>
      </c>
      <c r="AJ306">
        <v>332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ROW(Source!A208)</f>
        <v>208</v>
      </c>
      <c r="B307">
        <v>16809091</v>
      </c>
      <c r="C307">
        <v>16809078</v>
      </c>
      <c r="D307">
        <v>15249073</v>
      </c>
      <c r="E307">
        <v>1</v>
      </c>
      <c r="F307">
        <v>1</v>
      </c>
      <c r="G307">
        <v>1</v>
      </c>
      <c r="H307">
        <v>2</v>
      </c>
      <c r="I307" t="s">
        <v>724</v>
      </c>
      <c r="J307" t="s">
        <v>725</v>
      </c>
      <c r="K307" t="s">
        <v>726</v>
      </c>
      <c r="L307">
        <v>1368</v>
      </c>
      <c r="N307">
        <v>1011</v>
      </c>
      <c r="O307" t="s">
        <v>714</v>
      </c>
      <c r="P307" t="s">
        <v>714</v>
      </c>
      <c r="Q307">
        <v>1</v>
      </c>
      <c r="X307">
        <v>0.1</v>
      </c>
      <c r="Y307">
        <v>0</v>
      </c>
      <c r="Z307">
        <v>65.709999999999994</v>
      </c>
      <c r="AA307">
        <v>11.6</v>
      </c>
      <c r="AB307">
        <v>0</v>
      </c>
      <c r="AC307">
        <v>0</v>
      </c>
      <c r="AD307">
        <v>1</v>
      </c>
      <c r="AE307">
        <v>0</v>
      </c>
      <c r="AF307" t="s">
        <v>443</v>
      </c>
      <c r="AG307">
        <v>0.12</v>
      </c>
      <c r="AH307">
        <v>2</v>
      </c>
      <c r="AI307">
        <v>16809082</v>
      </c>
      <c r="AJ307">
        <v>333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ROW(Source!A208)</f>
        <v>208</v>
      </c>
      <c r="B308">
        <v>16809092</v>
      </c>
      <c r="C308">
        <v>16809078</v>
      </c>
      <c r="D308">
        <v>15167588</v>
      </c>
      <c r="E308">
        <v>1</v>
      </c>
      <c r="F308">
        <v>1</v>
      </c>
      <c r="G308">
        <v>1</v>
      </c>
      <c r="H308">
        <v>3</v>
      </c>
      <c r="I308" t="s">
        <v>727</v>
      </c>
      <c r="J308" t="s">
        <v>728</v>
      </c>
      <c r="K308" t="s">
        <v>729</v>
      </c>
      <c r="L308">
        <v>1346</v>
      </c>
      <c r="N308">
        <v>1009</v>
      </c>
      <c r="O308" t="s">
        <v>300</v>
      </c>
      <c r="P308" t="s">
        <v>300</v>
      </c>
      <c r="Q308">
        <v>1</v>
      </c>
      <c r="X308">
        <v>0.01</v>
      </c>
      <c r="Y308">
        <v>30.4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6</v>
      </c>
      <c r="AG308">
        <v>0.01</v>
      </c>
      <c r="AH308">
        <v>2</v>
      </c>
      <c r="AI308">
        <v>16809083</v>
      </c>
      <c r="AJ308">
        <v>334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ROW(Source!A208)</f>
        <v>208</v>
      </c>
      <c r="B309">
        <v>16809093</v>
      </c>
      <c r="C309">
        <v>16809078</v>
      </c>
      <c r="D309">
        <v>15169942</v>
      </c>
      <c r="E309">
        <v>1</v>
      </c>
      <c r="F309">
        <v>1</v>
      </c>
      <c r="G309">
        <v>1</v>
      </c>
      <c r="H309">
        <v>3</v>
      </c>
      <c r="I309" t="s">
        <v>730</v>
      </c>
      <c r="J309" t="s">
        <v>731</v>
      </c>
      <c r="K309" t="s">
        <v>732</v>
      </c>
      <c r="L309">
        <v>1346</v>
      </c>
      <c r="N309">
        <v>1009</v>
      </c>
      <c r="O309" t="s">
        <v>300</v>
      </c>
      <c r="P309" t="s">
        <v>300</v>
      </c>
      <c r="Q309">
        <v>1</v>
      </c>
      <c r="X309">
        <v>0.3</v>
      </c>
      <c r="Y309">
        <v>9.0399999999999991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6</v>
      </c>
      <c r="AG309">
        <v>0.3</v>
      </c>
      <c r="AH309">
        <v>2</v>
      </c>
      <c r="AI309">
        <v>16809084</v>
      </c>
      <c r="AJ309">
        <v>335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ROW(Source!A208)</f>
        <v>208</v>
      </c>
      <c r="B310">
        <v>16809094</v>
      </c>
      <c r="C310">
        <v>16809078</v>
      </c>
      <c r="D310">
        <v>15191488</v>
      </c>
      <c r="E310">
        <v>1</v>
      </c>
      <c r="F310">
        <v>1</v>
      </c>
      <c r="G310">
        <v>1</v>
      </c>
      <c r="H310">
        <v>3</v>
      </c>
      <c r="I310" t="s">
        <v>733</v>
      </c>
      <c r="J310" t="s">
        <v>734</v>
      </c>
      <c r="K310" t="s">
        <v>735</v>
      </c>
      <c r="L310">
        <v>1348</v>
      </c>
      <c r="N310">
        <v>1009</v>
      </c>
      <c r="O310" t="s">
        <v>104</v>
      </c>
      <c r="P310" t="s">
        <v>104</v>
      </c>
      <c r="Q310">
        <v>1000</v>
      </c>
      <c r="X310">
        <v>5.9999999999999995E-4</v>
      </c>
      <c r="Y310">
        <v>5000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6</v>
      </c>
      <c r="AG310">
        <v>5.9999999999999995E-4</v>
      </c>
      <c r="AH310">
        <v>2</v>
      </c>
      <c r="AI310">
        <v>16809085</v>
      </c>
      <c r="AJ310">
        <v>336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ROW(Source!A208)</f>
        <v>208</v>
      </c>
      <c r="B311">
        <v>16809095</v>
      </c>
      <c r="C311">
        <v>16809078</v>
      </c>
      <c r="D311">
        <v>15164559</v>
      </c>
      <c r="E311">
        <v>17</v>
      </c>
      <c r="F311">
        <v>1</v>
      </c>
      <c r="G311">
        <v>1</v>
      </c>
      <c r="H311">
        <v>3</v>
      </c>
      <c r="I311" t="s">
        <v>736</v>
      </c>
      <c r="J311" t="s">
        <v>6</v>
      </c>
      <c r="K311" t="s">
        <v>737</v>
      </c>
      <c r="L311">
        <v>1374</v>
      </c>
      <c r="N311">
        <v>1013</v>
      </c>
      <c r="O311" t="s">
        <v>738</v>
      </c>
      <c r="P311" t="s">
        <v>738</v>
      </c>
      <c r="Q311">
        <v>1</v>
      </c>
      <c r="X311">
        <v>0.19</v>
      </c>
      <c r="Y311">
        <v>1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6</v>
      </c>
      <c r="AG311">
        <v>0.19</v>
      </c>
      <c r="AH311">
        <v>2</v>
      </c>
      <c r="AI311">
        <v>16809086</v>
      </c>
      <c r="AJ311">
        <v>338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ROW(Source!A210)</f>
        <v>210</v>
      </c>
      <c r="B312">
        <v>16809118</v>
      </c>
      <c r="C312">
        <v>16809097</v>
      </c>
      <c r="D312">
        <v>15435721</v>
      </c>
      <c r="E312">
        <v>1</v>
      </c>
      <c r="F312">
        <v>1</v>
      </c>
      <c r="G312">
        <v>1</v>
      </c>
      <c r="H312">
        <v>1</v>
      </c>
      <c r="I312" t="s">
        <v>739</v>
      </c>
      <c r="J312" t="s">
        <v>6</v>
      </c>
      <c r="K312" t="s">
        <v>740</v>
      </c>
      <c r="L312">
        <v>1191</v>
      </c>
      <c r="N312">
        <v>1013</v>
      </c>
      <c r="O312" t="s">
        <v>708</v>
      </c>
      <c r="P312" t="s">
        <v>708</v>
      </c>
      <c r="Q312">
        <v>1</v>
      </c>
      <c r="X312">
        <v>1.56</v>
      </c>
      <c r="Y312">
        <v>0</v>
      </c>
      <c r="Z312">
        <v>0</v>
      </c>
      <c r="AA312">
        <v>0</v>
      </c>
      <c r="AB312">
        <v>9.51</v>
      </c>
      <c r="AC312">
        <v>0</v>
      </c>
      <c r="AD312">
        <v>1</v>
      </c>
      <c r="AE312">
        <v>1</v>
      </c>
      <c r="AF312" t="s">
        <v>443</v>
      </c>
      <c r="AG312">
        <v>1.8719999999999999</v>
      </c>
      <c r="AH312">
        <v>2</v>
      </c>
      <c r="AI312">
        <v>16809098</v>
      </c>
      <c r="AJ312">
        <v>339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ROW(Source!A210)</f>
        <v>210</v>
      </c>
      <c r="B313">
        <v>16809119</v>
      </c>
      <c r="C313">
        <v>16809097</v>
      </c>
      <c r="D313">
        <v>15249377</v>
      </c>
      <c r="E313">
        <v>1</v>
      </c>
      <c r="F313">
        <v>1</v>
      </c>
      <c r="G313">
        <v>1</v>
      </c>
      <c r="H313">
        <v>2</v>
      </c>
      <c r="I313" t="s">
        <v>952</v>
      </c>
      <c r="J313" t="s">
        <v>953</v>
      </c>
      <c r="K313" t="s">
        <v>954</v>
      </c>
      <c r="L313">
        <v>1368</v>
      </c>
      <c r="N313">
        <v>1011</v>
      </c>
      <c r="O313" t="s">
        <v>714</v>
      </c>
      <c r="P313" t="s">
        <v>714</v>
      </c>
      <c r="Q313">
        <v>1</v>
      </c>
      <c r="X313">
        <v>0.13</v>
      </c>
      <c r="Y313">
        <v>0</v>
      </c>
      <c r="Z313">
        <v>8.1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443</v>
      </c>
      <c r="AG313">
        <v>0.156</v>
      </c>
      <c r="AH313">
        <v>2</v>
      </c>
      <c r="AI313">
        <v>16809099</v>
      </c>
      <c r="AJ313">
        <v>340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ROW(Source!A210)</f>
        <v>210</v>
      </c>
      <c r="B314">
        <v>16809120</v>
      </c>
      <c r="C314">
        <v>16809097</v>
      </c>
      <c r="D314">
        <v>15165537</v>
      </c>
      <c r="E314">
        <v>1</v>
      </c>
      <c r="F314">
        <v>1</v>
      </c>
      <c r="G314">
        <v>1</v>
      </c>
      <c r="H314">
        <v>3</v>
      </c>
      <c r="I314" t="s">
        <v>964</v>
      </c>
      <c r="J314" t="s">
        <v>965</v>
      </c>
      <c r="K314" t="s">
        <v>966</v>
      </c>
      <c r="L314">
        <v>1346</v>
      </c>
      <c r="N314">
        <v>1009</v>
      </c>
      <c r="O314" t="s">
        <v>300</v>
      </c>
      <c r="P314" t="s">
        <v>300</v>
      </c>
      <c r="Q314">
        <v>1</v>
      </c>
      <c r="X314">
        <v>6.0000000000000001E-3</v>
      </c>
      <c r="Y314">
        <v>44.97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6</v>
      </c>
      <c r="AG314">
        <v>6.0000000000000001E-3</v>
      </c>
      <c r="AH314">
        <v>2</v>
      </c>
      <c r="AI314">
        <v>16809100</v>
      </c>
      <c r="AJ314">
        <v>341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ROW(Source!A210)</f>
        <v>210</v>
      </c>
      <c r="B315">
        <v>16809121</v>
      </c>
      <c r="C315">
        <v>16809097</v>
      </c>
      <c r="D315">
        <v>15167269</v>
      </c>
      <c r="E315">
        <v>1</v>
      </c>
      <c r="F315">
        <v>1</v>
      </c>
      <c r="G315">
        <v>1</v>
      </c>
      <c r="H315">
        <v>3</v>
      </c>
      <c r="I315" t="s">
        <v>967</v>
      </c>
      <c r="J315" t="s">
        <v>968</v>
      </c>
      <c r="K315" t="s">
        <v>969</v>
      </c>
      <c r="L315">
        <v>1346</v>
      </c>
      <c r="N315">
        <v>1009</v>
      </c>
      <c r="O315" t="s">
        <v>300</v>
      </c>
      <c r="P315" t="s">
        <v>300</v>
      </c>
      <c r="Q315">
        <v>1</v>
      </c>
      <c r="X315">
        <v>1E-3</v>
      </c>
      <c r="Y315">
        <v>11.5</v>
      </c>
      <c r="Z315">
        <v>0</v>
      </c>
      <c r="AA315">
        <v>0</v>
      </c>
      <c r="AB315">
        <v>0</v>
      </c>
      <c r="AC315">
        <v>0</v>
      </c>
      <c r="AD315">
        <v>1</v>
      </c>
      <c r="AE315">
        <v>0</v>
      </c>
      <c r="AF315" t="s">
        <v>6</v>
      </c>
      <c r="AG315">
        <v>1E-3</v>
      </c>
      <c r="AH315">
        <v>2</v>
      </c>
      <c r="AI315">
        <v>16809101</v>
      </c>
      <c r="AJ315">
        <v>342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ROW(Source!A210)</f>
        <v>210</v>
      </c>
      <c r="B316">
        <v>16809122</v>
      </c>
      <c r="C316">
        <v>16809097</v>
      </c>
      <c r="D316">
        <v>15167588</v>
      </c>
      <c r="E316">
        <v>1</v>
      </c>
      <c r="F316">
        <v>1</v>
      </c>
      <c r="G316">
        <v>1</v>
      </c>
      <c r="H316">
        <v>3</v>
      </c>
      <c r="I316" t="s">
        <v>727</v>
      </c>
      <c r="J316" t="s">
        <v>728</v>
      </c>
      <c r="K316" t="s">
        <v>729</v>
      </c>
      <c r="L316">
        <v>1346</v>
      </c>
      <c r="N316">
        <v>1009</v>
      </c>
      <c r="O316" t="s">
        <v>300</v>
      </c>
      <c r="P316" t="s">
        <v>300</v>
      </c>
      <c r="Q316">
        <v>1</v>
      </c>
      <c r="X316">
        <v>1.2E-2</v>
      </c>
      <c r="Y316">
        <v>30.4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6</v>
      </c>
      <c r="AG316">
        <v>1.2E-2</v>
      </c>
      <c r="AH316">
        <v>2</v>
      </c>
      <c r="AI316">
        <v>16809102</v>
      </c>
      <c r="AJ316">
        <v>343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ROW(Source!A210)</f>
        <v>210</v>
      </c>
      <c r="B317">
        <v>16809123</v>
      </c>
      <c r="C317">
        <v>16809097</v>
      </c>
      <c r="D317">
        <v>15168752</v>
      </c>
      <c r="E317">
        <v>1</v>
      </c>
      <c r="F317">
        <v>1</v>
      </c>
      <c r="G317">
        <v>1</v>
      </c>
      <c r="H317">
        <v>3</v>
      </c>
      <c r="I317" t="s">
        <v>955</v>
      </c>
      <c r="J317" t="s">
        <v>956</v>
      </c>
      <c r="K317" t="s">
        <v>957</v>
      </c>
      <c r="L317">
        <v>1346</v>
      </c>
      <c r="N317">
        <v>1009</v>
      </c>
      <c r="O317" t="s">
        <v>300</v>
      </c>
      <c r="P317" t="s">
        <v>300</v>
      </c>
      <c r="Q317">
        <v>1</v>
      </c>
      <c r="X317">
        <v>7.0000000000000007E-2</v>
      </c>
      <c r="Y317">
        <v>10.57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6</v>
      </c>
      <c r="AG317">
        <v>7.0000000000000007E-2</v>
      </c>
      <c r="AH317">
        <v>2</v>
      </c>
      <c r="AI317">
        <v>16809103</v>
      </c>
      <c r="AJ317">
        <v>344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ROW(Source!A210)</f>
        <v>210</v>
      </c>
      <c r="B318">
        <v>16809124</v>
      </c>
      <c r="C318">
        <v>16809097</v>
      </c>
      <c r="D318">
        <v>15169942</v>
      </c>
      <c r="E318">
        <v>1</v>
      </c>
      <c r="F318">
        <v>1</v>
      </c>
      <c r="G318">
        <v>1</v>
      </c>
      <c r="H318">
        <v>3</v>
      </c>
      <c r="I318" t="s">
        <v>730</v>
      </c>
      <c r="J318" t="s">
        <v>731</v>
      </c>
      <c r="K318" t="s">
        <v>732</v>
      </c>
      <c r="L318">
        <v>1346</v>
      </c>
      <c r="N318">
        <v>1009</v>
      </c>
      <c r="O318" t="s">
        <v>300</v>
      </c>
      <c r="P318" t="s">
        <v>300</v>
      </c>
      <c r="Q318">
        <v>1</v>
      </c>
      <c r="X318">
        <v>4.9000000000000002E-2</v>
      </c>
      <c r="Y318">
        <v>9.0399999999999991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6</v>
      </c>
      <c r="AG318">
        <v>4.9000000000000002E-2</v>
      </c>
      <c r="AH318">
        <v>2</v>
      </c>
      <c r="AI318">
        <v>16809104</v>
      </c>
      <c r="AJ318">
        <v>345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ROW(Source!A210)</f>
        <v>210</v>
      </c>
      <c r="B319">
        <v>16809125</v>
      </c>
      <c r="C319">
        <v>16809097</v>
      </c>
      <c r="D319">
        <v>15170074</v>
      </c>
      <c r="E319">
        <v>1</v>
      </c>
      <c r="F319">
        <v>1</v>
      </c>
      <c r="G319">
        <v>1</v>
      </c>
      <c r="H319">
        <v>3</v>
      </c>
      <c r="I319" t="s">
        <v>946</v>
      </c>
      <c r="J319" t="s">
        <v>947</v>
      </c>
      <c r="K319" t="s">
        <v>948</v>
      </c>
      <c r="L319">
        <v>1355</v>
      </c>
      <c r="N319">
        <v>1010</v>
      </c>
      <c r="O319" t="s">
        <v>326</v>
      </c>
      <c r="P319" t="s">
        <v>326</v>
      </c>
      <c r="Q319">
        <v>100</v>
      </c>
      <c r="X319">
        <v>1.4E-2</v>
      </c>
      <c r="Y319">
        <v>86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6</v>
      </c>
      <c r="AG319">
        <v>1.4E-2</v>
      </c>
      <c r="AH319">
        <v>2</v>
      </c>
      <c r="AI319">
        <v>16809105</v>
      </c>
      <c r="AJ319">
        <v>346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ROW(Source!A210)</f>
        <v>210</v>
      </c>
      <c r="B320">
        <v>16809126</v>
      </c>
      <c r="C320">
        <v>16809097</v>
      </c>
      <c r="D320">
        <v>15170994</v>
      </c>
      <c r="E320">
        <v>1</v>
      </c>
      <c r="F320">
        <v>1</v>
      </c>
      <c r="G320">
        <v>1</v>
      </c>
      <c r="H320">
        <v>3</v>
      </c>
      <c r="I320" t="s">
        <v>970</v>
      </c>
      <c r="J320" t="s">
        <v>971</v>
      </c>
      <c r="K320" t="s">
        <v>972</v>
      </c>
      <c r="L320">
        <v>1346</v>
      </c>
      <c r="N320">
        <v>1009</v>
      </c>
      <c r="O320" t="s">
        <v>300</v>
      </c>
      <c r="P320" t="s">
        <v>300</v>
      </c>
      <c r="Q320">
        <v>1</v>
      </c>
      <c r="X320">
        <v>1E-3</v>
      </c>
      <c r="Y320">
        <v>133.05000000000001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6</v>
      </c>
      <c r="AG320">
        <v>1E-3</v>
      </c>
      <c r="AH320">
        <v>2</v>
      </c>
      <c r="AI320">
        <v>16809106</v>
      </c>
      <c r="AJ320">
        <v>347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ROW(Source!A210)</f>
        <v>210</v>
      </c>
      <c r="B321">
        <v>16809127</v>
      </c>
      <c r="C321">
        <v>16809097</v>
      </c>
      <c r="D321">
        <v>15188647</v>
      </c>
      <c r="E321">
        <v>1</v>
      </c>
      <c r="F321">
        <v>1</v>
      </c>
      <c r="G321">
        <v>1</v>
      </c>
      <c r="H321">
        <v>3</v>
      </c>
      <c r="I321" t="s">
        <v>973</v>
      </c>
      <c r="J321" t="s">
        <v>974</v>
      </c>
      <c r="K321" t="s">
        <v>975</v>
      </c>
      <c r="L321">
        <v>1348</v>
      </c>
      <c r="N321">
        <v>1009</v>
      </c>
      <c r="O321" t="s">
        <v>104</v>
      </c>
      <c r="P321" t="s">
        <v>104</v>
      </c>
      <c r="Q321">
        <v>1000</v>
      </c>
      <c r="X321">
        <v>1E-3</v>
      </c>
      <c r="Y321">
        <v>11500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6</v>
      </c>
      <c r="AG321">
        <v>1E-3</v>
      </c>
      <c r="AH321">
        <v>2</v>
      </c>
      <c r="AI321">
        <v>16809107</v>
      </c>
      <c r="AJ321">
        <v>348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ROW(Source!A210)</f>
        <v>210</v>
      </c>
      <c r="B322">
        <v>16809128</v>
      </c>
      <c r="C322">
        <v>16809097</v>
      </c>
      <c r="D322">
        <v>15203834</v>
      </c>
      <c r="E322">
        <v>1</v>
      </c>
      <c r="F322">
        <v>1</v>
      </c>
      <c r="G322">
        <v>1</v>
      </c>
      <c r="H322">
        <v>3</v>
      </c>
      <c r="I322" t="s">
        <v>932</v>
      </c>
      <c r="J322" t="s">
        <v>933</v>
      </c>
      <c r="K322" t="s">
        <v>934</v>
      </c>
      <c r="L322">
        <v>1346</v>
      </c>
      <c r="N322">
        <v>1009</v>
      </c>
      <c r="O322" t="s">
        <v>300</v>
      </c>
      <c r="P322" t="s">
        <v>300</v>
      </c>
      <c r="Q322">
        <v>1</v>
      </c>
      <c r="X322">
        <v>3.5999999999999997E-2</v>
      </c>
      <c r="Y322">
        <v>28.6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6</v>
      </c>
      <c r="AG322">
        <v>3.5999999999999997E-2</v>
      </c>
      <c r="AH322">
        <v>2</v>
      </c>
      <c r="AI322">
        <v>16809108</v>
      </c>
      <c r="AJ322">
        <v>349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ROW(Source!A210)</f>
        <v>210</v>
      </c>
      <c r="B323">
        <v>16809129</v>
      </c>
      <c r="C323">
        <v>16809097</v>
      </c>
      <c r="D323">
        <v>15203987</v>
      </c>
      <c r="E323">
        <v>1</v>
      </c>
      <c r="F323">
        <v>1</v>
      </c>
      <c r="G323">
        <v>1</v>
      </c>
      <c r="H323">
        <v>3</v>
      </c>
      <c r="I323" t="s">
        <v>976</v>
      </c>
      <c r="J323" t="s">
        <v>977</v>
      </c>
      <c r="K323" t="s">
        <v>978</v>
      </c>
      <c r="L323">
        <v>1346</v>
      </c>
      <c r="N323">
        <v>1009</v>
      </c>
      <c r="O323" t="s">
        <v>300</v>
      </c>
      <c r="P323" t="s">
        <v>300</v>
      </c>
      <c r="Q323">
        <v>1</v>
      </c>
      <c r="X323">
        <v>6.0000000000000001E-3</v>
      </c>
      <c r="Y323">
        <v>35.630000000000003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6</v>
      </c>
      <c r="AG323">
        <v>6.0000000000000001E-3</v>
      </c>
      <c r="AH323">
        <v>2</v>
      </c>
      <c r="AI323">
        <v>16809109</v>
      </c>
      <c r="AJ323">
        <v>350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ROW(Source!A210)</f>
        <v>210</v>
      </c>
      <c r="B324">
        <v>16809130</v>
      </c>
      <c r="C324">
        <v>16809097</v>
      </c>
      <c r="D324">
        <v>15217463</v>
      </c>
      <c r="E324">
        <v>1</v>
      </c>
      <c r="F324">
        <v>1</v>
      </c>
      <c r="G324">
        <v>1</v>
      </c>
      <c r="H324">
        <v>3</v>
      </c>
      <c r="I324" t="s">
        <v>979</v>
      </c>
      <c r="J324" t="s">
        <v>980</v>
      </c>
      <c r="K324" t="s">
        <v>981</v>
      </c>
      <c r="L324">
        <v>1358</v>
      </c>
      <c r="N324">
        <v>1010</v>
      </c>
      <c r="O324" t="s">
        <v>512</v>
      </c>
      <c r="P324" t="s">
        <v>512</v>
      </c>
      <c r="Q324">
        <v>10</v>
      </c>
      <c r="X324">
        <v>0.1</v>
      </c>
      <c r="Y324">
        <v>39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6</v>
      </c>
      <c r="AG324">
        <v>0.1</v>
      </c>
      <c r="AH324">
        <v>2</v>
      </c>
      <c r="AI324">
        <v>16809110</v>
      </c>
      <c r="AJ324">
        <v>351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ROW(Source!A210)</f>
        <v>210</v>
      </c>
      <c r="B325">
        <v>16809131</v>
      </c>
      <c r="C325">
        <v>16809097</v>
      </c>
      <c r="D325">
        <v>15164559</v>
      </c>
      <c r="E325">
        <v>17</v>
      </c>
      <c r="F325">
        <v>1</v>
      </c>
      <c r="G325">
        <v>1</v>
      </c>
      <c r="H325">
        <v>3</v>
      </c>
      <c r="I325" t="s">
        <v>736</v>
      </c>
      <c r="J325" t="s">
        <v>6</v>
      </c>
      <c r="K325" t="s">
        <v>737</v>
      </c>
      <c r="L325">
        <v>1374</v>
      </c>
      <c r="N325">
        <v>1013</v>
      </c>
      <c r="O325" t="s">
        <v>738</v>
      </c>
      <c r="P325" t="s">
        <v>738</v>
      </c>
      <c r="Q325">
        <v>1</v>
      </c>
      <c r="X325">
        <v>0.3</v>
      </c>
      <c r="Y325">
        <v>1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6</v>
      </c>
      <c r="AG325">
        <v>0.3</v>
      </c>
      <c r="AH325">
        <v>2</v>
      </c>
      <c r="AI325">
        <v>16809111</v>
      </c>
      <c r="AJ325">
        <v>355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ROW(Source!A248)</f>
        <v>248</v>
      </c>
      <c r="B326">
        <v>16809267</v>
      </c>
      <c r="C326">
        <v>16809264</v>
      </c>
      <c r="D326">
        <v>15885198</v>
      </c>
      <c r="E326">
        <v>1</v>
      </c>
      <c r="F326">
        <v>1</v>
      </c>
      <c r="G326">
        <v>1</v>
      </c>
      <c r="H326">
        <v>1</v>
      </c>
      <c r="I326" t="s">
        <v>982</v>
      </c>
      <c r="J326" t="s">
        <v>6</v>
      </c>
      <c r="K326" t="s">
        <v>983</v>
      </c>
      <c r="L326">
        <v>1191</v>
      </c>
      <c r="N326">
        <v>1013</v>
      </c>
      <c r="O326" t="s">
        <v>708</v>
      </c>
      <c r="P326" t="s">
        <v>708</v>
      </c>
      <c r="Q326">
        <v>1</v>
      </c>
      <c r="X326">
        <v>0.16</v>
      </c>
      <c r="Y326">
        <v>0</v>
      </c>
      <c r="Z326">
        <v>0</v>
      </c>
      <c r="AA326">
        <v>0</v>
      </c>
      <c r="AB326">
        <v>12.92</v>
      </c>
      <c r="AC326">
        <v>0</v>
      </c>
      <c r="AD326">
        <v>1</v>
      </c>
      <c r="AE326">
        <v>1</v>
      </c>
      <c r="AF326" t="s">
        <v>82</v>
      </c>
      <c r="AG326">
        <v>0.128</v>
      </c>
      <c r="AH326">
        <v>2</v>
      </c>
      <c r="AI326">
        <v>16809265</v>
      </c>
      <c r="AJ326">
        <v>356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ROW(Source!A248)</f>
        <v>248</v>
      </c>
      <c r="B327">
        <v>16809268</v>
      </c>
      <c r="C327">
        <v>16809264</v>
      </c>
      <c r="D327">
        <v>15884235</v>
      </c>
      <c r="E327">
        <v>1</v>
      </c>
      <c r="F327">
        <v>1</v>
      </c>
      <c r="G327">
        <v>1</v>
      </c>
      <c r="H327">
        <v>1</v>
      </c>
      <c r="I327" t="s">
        <v>984</v>
      </c>
      <c r="J327" t="s">
        <v>6</v>
      </c>
      <c r="K327" t="s">
        <v>985</v>
      </c>
      <c r="L327">
        <v>1191</v>
      </c>
      <c r="N327">
        <v>1013</v>
      </c>
      <c r="O327" t="s">
        <v>708</v>
      </c>
      <c r="P327" t="s">
        <v>708</v>
      </c>
      <c r="Q327">
        <v>1</v>
      </c>
      <c r="X327">
        <v>0.16</v>
      </c>
      <c r="Y327">
        <v>0</v>
      </c>
      <c r="Z327">
        <v>0</v>
      </c>
      <c r="AA327">
        <v>0</v>
      </c>
      <c r="AB327">
        <v>12.69</v>
      </c>
      <c r="AC327">
        <v>0</v>
      </c>
      <c r="AD327">
        <v>1</v>
      </c>
      <c r="AE327">
        <v>1</v>
      </c>
      <c r="AF327" t="s">
        <v>82</v>
      </c>
      <c r="AG327">
        <v>0.128</v>
      </c>
      <c r="AH327">
        <v>2</v>
      </c>
      <c r="AI327">
        <v>16809266</v>
      </c>
      <c r="AJ327">
        <v>357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ROW(Source!A249)</f>
        <v>249</v>
      </c>
      <c r="B328">
        <v>16809272</v>
      </c>
      <c r="C328">
        <v>16809269</v>
      </c>
      <c r="D328">
        <v>15884231</v>
      </c>
      <c r="E328">
        <v>1</v>
      </c>
      <c r="F328">
        <v>1</v>
      </c>
      <c r="G328">
        <v>1</v>
      </c>
      <c r="H328">
        <v>1</v>
      </c>
      <c r="I328" t="s">
        <v>986</v>
      </c>
      <c r="J328" t="s">
        <v>6</v>
      </c>
      <c r="K328" t="s">
        <v>987</v>
      </c>
      <c r="L328">
        <v>1191</v>
      </c>
      <c r="N328">
        <v>1013</v>
      </c>
      <c r="O328" t="s">
        <v>708</v>
      </c>
      <c r="P328" t="s">
        <v>708</v>
      </c>
      <c r="Q328">
        <v>1</v>
      </c>
      <c r="X328">
        <v>0.65</v>
      </c>
      <c r="Y328">
        <v>0</v>
      </c>
      <c r="Z328">
        <v>0</v>
      </c>
      <c r="AA328">
        <v>0</v>
      </c>
      <c r="AB328">
        <v>9.17</v>
      </c>
      <c r="AC328">
        <v>0</v>
      </c>
      <c r="AD328">
        <v>1</v>
      </c>
      <c r="AE328">
        <v>1</v>
      </c>
      <c r="AF328" t="s">
        <v>82</v>
      </c>
      <c r="AG328">
        <v>0.52</v>
      </c>
      <c r="AH328">
        <v>2</v>
      </c>
      <c r="AI328">
        <v>16809270</v>
      </c>
      <c r="AJ328">
        <v>358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ROW(Source!A249)</f>
        <v>249</v>
      </c>
      <c r="B329">
        <v>16809273</v>
      </c>
      <c r="C329">
        <v>16809269</v>
      </c>
      <c r="D329">
        <v>15884285</v>
      </c>
      <c r="E329">
        <v>1</v>
      </c>
      <c r="F329">
        <v>1</v>
      </c>
      <c r="G329">
        <v>1</v>
      </c>
      <c r="H329">
        <v>1</v>
      </c>
      <c r="I329" t="s">
        <v>988</v>
      </c>
      <c r="J329" t="s">
        <v>6</v>
      </c>
      <c r="K329" t="s">
        <v>989</v>
      </c>
      <c r="L329">
        <v>1191</v>
      </c>
      <c r="N329">
        <v>1013</v>
      </c>
      <c r="O329" t="s">
        <v>708</v>
      </c>
      <c r="P329" t="s">
        <v>708</v>
      </c>
      <c r="Q329">
        <v>1</v>
      </c>
      <c r="X329">
        <v>0.97</v>
      </c>
      <c r="Y329">
        <v>0</v>
      </c>
      <c r="Z329">
        <v>0</v>
      </c>
      <c r="AA329">
        <v>0</v>
      </c>
      <c r="AB329">
        <v>14.09</v>
      </c>
      <c r="AC329">
        <v>0</v>
      </c>
      <c r="AD329">
        <v>1</v>
      </c>
      <c r="AE329">
        <v>1</v>
      </c>
      <c r="AF329" t="s">
        <v>82</v>
      </c>
      <c r="AG329">
        <v>0.77600000000000002</v>
      </c>
      <c r="AH329">
        <v>2</v>
      </c>
      <c r="AI329">
        <v>16809271</v>
      </c>
      <c r="AJ329">
        <v>359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ROW(Source!A250)</f>
        <v>250</v>
      </c>
      <c r="B330">
        <v>16809277</v>
      </c>
      <c r="C330">
        <v>16809274</v>
      </c>
      <c r="D330">
        <v>15885198</v>
      </c>
      <c r="E330">
        <v>1</v>
      </c>
      <c r="F330">
        <v>1</v>
      </c>
      <c r="G330">
        <v>1</v>
      </c>
      <c r="H330">
        <v>1</v>
      </c>
      <c r="I330" t="s">
        <v>982</v>
      </c>
      <c r="J330" t="s">
        <v>6</v>
      </c>
      <c r="K330" t="s">
        <v>983</v>
      </c>
      <c r="L330">
        <v>1191</v>
      </c>
      <c r="N330">
        <v>1013</v>
      </c>
      <c r="O330" t="s">
        <v>708</v>
      </c>
      <c r="P330" t="s">
        <v>708</v>
      </c>
      <c r="Q330">
        <v>1</v>
      </c>
      <c r="X330">
        <v>0.61</v>
      </c>
      <c r="Y330">
        <v>0</v>
      </c>
      <c r="Z330">
        <v>0</v>
      </c>
      <c r="AA330">
        <v>0</v>
      </c>
      <c r="AB330">
        <v>12.92</v>
      </c>
      <c r="AC330">
        <v>0</v>
      </c>
      <c r="AD330">
        <v>1</v>
      </c>
      <c r="AE330">
        <v>1</v>
      </c>
      <c r="AF330" t="s">
        <v>82</v>
      </c>
      <c r="AG330">
        <v>0.48799999999999999</v>
      </c>
      <c r="AH330">
        <v>2</v>
      </c>
      <c r="AI330">
        <v>16809275</v>
      </c>
      <c r="AJ330">
        <v>360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ROW(Source!A250)</f>
        <v>250</v>
      </c>
      <c r="B331">
        <v>16809278</v>
      </c>
      <c r="C331">
        <v>16809274</v>
      </c>
      <c r="D331">
        <v>15884235</v>
      </c>
      <c r="E331">
        <v>1</v>
      </c>
      <c r="F331">
        <v>1</v>
      </c>
      <c r="G331">
        <v>1</v>
      </c>
      <c r="H331">
        <v>1</v>
      </c>
      <c r="I331" t="s">
        <v>984</v>
      </c>
      <c r="J331" t="s">
        <v>6</v>
      </c>
      <c r="K331" t="s">
        <v>985</v>
      </c>
      <c r="L331">
        <v>1191</v>
      </c>
      <c r="N331">
        <v>1013</v>
      </c>
      <c r="O331" t="s">
        <v>708</v>
      </c>
      <c r="P331" t="s">
        <v>708</v>
      </c>
      <c r="Q331">
        <v>1</v>
      </c>
      <c r="X331">
        <v>0.61</v>
      </c>
      <c r="Y331">
        <v>0</v>
      </c>
      <c r="Z331">
        <v>0</v>
      </c>
      <c r="AA331">
        <v>0</v>
      </c>
      <c r="AB331">
        <v>12.69</v>
      </c>
      <c r="AC331">
        <v>0</v>
      </c>
      <c r="AD331">
        <v>1</v>
      </c>
      <c r="AE331">
        <v>1</v>
      </c>
      <c r="AF331" t="s">
        <v>82</v>
      </c>
      <c r="AG331">
        <v>0.48799999999999999</v>
      </c>
      <c r="AH331">
        <v>2</v>
      </c>
      <c r="AI331">
        <v>16809276</v>
      </c>
      <c r="AJ331">
        <v>361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ROW(Source!A285)</f>
        <v>285</v>
      </c>
      <c r="B332">
        <v>16809148</v>
      </c>
      <c r="C332">
        <v>16809135</v>
      </c>
      <c r="D332">
        <v>15436556</v>
      </c>
      <c r="E332">
        <v>1</v>
      </c>
      <c r="F332">
        <v>1</v>
      </c>
      <c r="G332">
        <v>1</v>
      </c>
      <c r="H332">
        <v>1</v>
      </c>
      <c r="I332" t="s">
        <v>748</v>
      </c>
      <c r="J332" t="s">
        <v>6</v>
      </c>
      <c r="K332" t="s">
        <v>749</v>
      </c>
      <c r="L332">
        <v>1191</v>
      </c>
      <c r="N332">
        <v>1013</v>
      </c>
      <c r="O332" t="s">
        <v>708</v>
      </c>
      <c r="P332" t="s">
        <v>708</v>
      </c>
      <c r="Q332">
        <v>1</v>
      </c>
      <c r="X332">
        <v>8.99</v>
      </c>
      <c r="Y332">
        <v>0</v>
      </c>
      <c r="Z332">
        <v>0</v>
      </c>
      <c r="AA332">
        <v>0</v>
      </c>
      <c r="AB332">
        <v>9.6199999999999992</v>
      </c>
      <c r="AC332">
        <v>0</v>
      </c>
      <c r="AD332">
        <v>1</v>
      </c>
      <c r="AE332">
        <v>1</v>
      </c>
      <c r="AF332" t="s">
        <v>443</v>
      </c>
      <c r="AG332">
        <v>10.788</v>
      </c>
      <c r="AH332">
        <v>2</v>
      </c>
      <c r="AI332">
        <v>16809136</v>
      </c>
      <c r="AJ332">
        <v>362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ROW(Source!A285)</f>
        <v>285</v>
      </c>
      <c r="B333">
        <v>16809149</v>
      </c>
      <c r="C333">
        <v>16809135</v>
      </c>
      <c r="D333">
        <v>15430395</v>
      </c>
      <c r="E333">
        <v>1</v>
      </c>
      <c r="F333">
        <v>1</v>
      </c>
      <c r="G333">
        <v>1</v>
      </c>
      <c r="H333">
        <v>1</v>
      </c>
      <c r="I333" t="s">
        <v>709</v>
      </c>
      <c r="J333" t="s">
        <v>6</v>
      </c>
      <c r="K333" t="s">
        <v>710</v>
      </c>
      <c r="L333">
        <v>1191</v>
      </c>
      <c r="N333">
        <v>1013</v>
      </c>
      <c r="O333" t="s">
        <v>708</v>
      </c>
      <c r="P333" t="s">
        <v>708</v>
      </c>
      <c r="Q333">
        <v>1</v>
      </c>
      <c r="X333">
        <v>0.21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2</v>
      </c>
      <c r="AF333" t="s">
        <v>443</v>
      </c>
      <c r="AG333">
        <v>0.252</v>
      </c>
      <c r="AH333">
        <v>2</v>
      </c>
      <c r="AI333">
        <v>16809137</v>
      </c>
      <c r="AJ333">
        <v>363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ROW(Source!A285)</f>
        <v>285</v>
      </c>
      <c r="B334">
        <v>16809150</v>
      </c>
      <c r="C334">
        <v>16809135</v>
      </c>
      <c r="D334">
        <v>15247974</v>
      </c>
      <c r="E334">
        <v>1</v>
      </c>
      <c r="F334">
        <v>1</v>
      </c>
      <c r="G334">
        <v>1</v>
      </c>
      <c r="H334">
        <v>2</v>
      </c>
      <c r="I334" t="s">
        <v>711</v>
      </c>
      <c r="J334" t="s">
        <v>712</v>
      </c>
      <c r="K334" t="s">
        <v>713</v>
      </c>
      <c r="L334">
        <v>1368</v>
      </c>
      <c r="N334">
        <v>1011</v>
      </c>
      <c r="O334" t="s">
        <v>714</v>
      </c>
      <c r="P334" t="s">
        <v>714</v>
      </c>
      <c r="Q334">
        <v>1</v>
      </c>
      <c r="X334">
        <v>7.0000000000000007E-2</v>
      </c>
      <c r="Y334">
        <v>0</v>
      </c>
      <c r="Z334">
        <v>31.26</v>
      </c>
      <c r="AA334">
        <v>13.5</v>
      </c>
      <c r="AB334">
        <v>0</v>
      </c>
      <c r="AC334">
        <v>0</v>
      </c>
      <c r="AD334">
        <v>1</v>
      </c>
      <c r="AE334">
        <v>0</v>
      </c>
      <c r="AF334" t="s">
        <v>443</v>
      </c>
      <c r="AG334">
        <v>8.4000000000000005E-2</v>
      </c>
      <c r="AH334">
        <v>2</v>
      </c>
      <c r="AI334">
        <v>16809138</v>
      </c>
      <c r="AJ334">
        <v>364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ROW(Source!A285)</f>
        <v>285</v>
      </c>
      <c r="B335">
        <v>16809151</v>
      </c>
      <c r="C335">
        <v>16809135</v>
      </c>
      <c r="D335">
        <v>15249073</v>
      </c>
      <c r="E335">
        <v>1</v>
      </c>
      <c r="F335">
        <v>1</v>
      </c>
      <c r="G335">
        <v>1</v>
      </c>
      <c r="H335">
        <v>2</v>
      </c>
      <c r="I335" t="s">
        <v>724</v>
      </c>
      <c r="J335" t="s">
        <v>725</v>
      </c>
      <c r="K335" t="s">
        <v>726</v>
      </c>
      <c r="L335">
        <v>1368</v>
      </c>
      <c r="N335">
        <v>1011</v>
      </c>
      <c r="O335" t="s">
        <v>714</v>
      </c>
      <c r="P335" t="s">
        <v>714</v>
      </c>
      <c r="Q335">
        <v>1</v>
      </c>
      <c r="X335">
        <v>0.14000000000000001</v>
      </c>
      <c r="Y335">
        <v>0</v>
      </c>
      <c r="Z335">
        <v>65.709999999999994</v>
      </c>
      <c r="AA335">
        <v>11.6</v>
      </c>
      <c r="AB335">
        <v>0</v>
      </c>
      <c r="AC335">
        <v>0</v>
      </c>
      <c r="AD335">
        <v>1</v>
      </c>
      <c r="AE335">
        <v>0</v>
      </c>
      <c r="AF335" t="s">
        <v>443</v>
      </c>
      <c r="AG335">
        <v>0.16800000000000001</v>
      </c>
      <c r="AH335">
        <v>2</v>
      </c>
      <c r="AI335">
        <v>16809139</v>
      </c>
      <c r="AJ335">
        <v>365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ROW(Source!A285)</f>
        <v>285</v>
      </c>
      <c r="B336">
        <v>16809152</v>
      </c>
      <c r="C336">
        <v>16809135</v>
      </c>
      <c r="D336">
        <v>15167955</v>
      </c>
      <c r="E336">
        <v>1</v>
      </c>
      <c r="F336">
        <v>1</v>
      </c>
      <c r="G336">
        <v>1</v>
      </c>
      <c r="H336">
        <v>3</v>
      </c>
      <c r="I336" t="s">
        <v>990</v>
      </c>
      <c r="J336" t="s">
        <v>991</v>
      </c>
      <c r="K336" t="s">
        <v>992</v>
      </c>
      <c r="L336">
        <v>1348</v>
      </c>
      <c r="N336">
        <v>1009</v>
      </c>
      <c r="O336" t="s">
        <v>104</v>
      </c>
      <c r="P336" t="s">
        <v>104</v>
      </c>
      <c r="Q336">
        <v>1000</v>
      </c>
      <c r="X336">
        <v>1.4E-3</v>
      </c>
      <c r="Y336">
        <v>30030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6</v>
      </c>
      <c r="AG336">
        <v>1.4E-3</v>
      </c>
      <c r="AH336">
        <v>2</v>
      </c>
      <c r="AI336">
        <v>16809140</v>
      </c>
      <c r="AJ336">
        <v>366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ROW(Source!A285)</f>
        <v>285</v>
      </c>
      <c r="B337">
        <v>16809153</v>
      </c>
      <c r="C337">
        <v>16809135</v>
      </c>
      <c r="D337">
        <v>15167963</v>
      </c>
      <c r="E337">
        <v>1</v>
      </c>
      <c r="F337">
        <v>1</v>
      </c>
      <c r="G337">
        <v>1</v>
      </c>
      <c r="H337">
        <v>3</v>
      </c>
      <c r="I337" t="s">
        <v>993</v>
      </c>
      <c r="J337" t="s">
        <v>994</v>
      </c>
      <c r="K337" t="s">
        <v>995</v>
      </c>
      <c r="L337">
        <v>1346</v>
      </c>
      <c r="N337">
        <v>1009</v>
      </c>
      <c r="O337" t="s">
        <v>300</v>
      </c>
      <c r="P337" t="s">
        <v>300</v>
      </c>
      <c r="Q337">
        <v>1</v>
      </c>
      <c r="X337">
        <v>0.02</v>
      </c>
      <c r="Y337">
        <v>37.29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6</v>
      </c>
      <c r="AG337">
        <v>0.02</v>
      </c>
      <c r="AH337">
        <v>2</v>
      </c>
      <c r="AI337">
        <v>16809141</v>
      </c>
      <c r="AJ337">
        <v>367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ROW(Source!A285)</f>
        <v>285</v>
      </c>
      <c r="B338">
        <v>16809154</v>
      </c>
      <c r="C338">
        <v>16809135</v>
      </c>
      <c r="D338">
        <v>15163011</v>
      </c>
      <c r="E338">
        <v>17</v>
      </c>
      <c r="F338">
        <v>1</v>
      </c>
      <c r="G338">
        <v>1</v>
      </c>
      <c r="H338">
        <v>3</v>
      </c>
      <c r="I338" t="s">
        <v>1039</v>
      </c>
      <c r="J338" t="s">
        <v>6</v>
      </c>
      <c r="K338" t="s">
        <v>1040</v>
      </c>
      <c r="L338">
        <v>1358</v>
      </c>
      <c r="N338">
        <v>1010</v>
      </c>
      <c r="O338" t="s">
        <v>512</v>
      </c>
      <c r="P338" t="s">
        <v>512</v>
      </c>
      <c r="Q338">
        <v>10</v>
      </c>
      <c r="X338">
        <v>4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 t="s">
        <v>6</v>
      </c>
      <c r="AG338">
        <v>4</v>
      </c>
      <c r="AH338">
        <v>3</v>
      </c>
      <c r="AI338">
        <v>-1</v>
      </c>
      <c r="AJ338" t="s">
        <v>6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ROW(Source!A285)</f>
        <v>285</v>
      </c>
      <c r="B339">
        <v>16809155</v>
      </c>
      <c r="C339">
        <v>16809135</v>
      </c>
      <c r="D339">
        <v>15162072</v>
      </c>
      <c r="E339">
        <v>17</v>
      </c>
      <c r="F339">
        <v>1</v>
      </c>
      <c r="G339">
        <v>1</v>
      </c>
      <c r="H339">
        <v>3</v>
      </c>
      <c r="I339" t="s">
        <v>1041</v>
      </c>
      <c r="J339" t="s">
        <v>6</v>
      </c>
      <c r="K339" t="s">
        <v>1042</v>
      </c>
      <c r="L339">
        <v>1348</v>
      </c>
      <c r="N339">
        <v>1009</v>
      </c>
      <c r="O339" t="s">
        <v>104</v>
      </c>
      <c r="P339" t="s">
        <v>104</v>
      </c>
      <c r="Q339">
        <v>1000</v>
      </c>
      <c r="X339">
        <v>6.9999999999999999E-4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 t="s">
        <v>6</v>
      </c>
      <c r="AG339">
        <v>6.9999999999999999E-4</v>
      </c>
      <c r="AH339">
        <v>3</v>
      </c>
      <c r="AI339">
        <v>-1</v>
      </c>
      <c r="AJ339" t="s">
        <v>6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ROW(Source!A285)</f>
        <v>285</v>
      </c>
      <c r="B340">
        <v>16809156</v>
      </c>
      <c r="C340">
        <v>16809135</v>
      </c>
      <c r="D340">
        <v>15172117</v>
      </c>
      <c r="E340">
        <v>1</v>
      </c>
      <c r="F340">
        <v>1</v>
      </c>
      <c r="G340">
        <v>1</v>
      </c>
      <c r="H340">
        <v>3</v>
      </c>
      <c r="I340" t="s">
        <v>996</v>
      </c>
      <c r="J340" t="s">
        <v>997</v>
      </c>
      <c r="K340" t="s">
        <v>998</v>
      </c>
      <c r="L340">
        <v>1348</v>
      </c>
      <c r="N340">
        <v>1009</v>
      </c>
      <c r="O340" t="s">
        <v>104</v>
      </c>
      <c r="P340" t="s">
        <v>104</v>
      </c>
      <c r="Q340">
        <v>1000</v>
      </c>
      <c r="X340">
        <v>2E-3</v>
      </c>
      <c r="Y340">
        <v>1836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6</v>
      </c>
      <c r="AG340">
        <v>2E-3</v>
      </c>
      <c r="AH340">
        <v>2</v>
      </c>
      <c r="AI340">
        <v>16809142</v>
      </c>
      <c r="AJ340">
        <v>368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ROW(Source!A285)</f>
        <v>285</v>
      </c>
      <c r="B341">
        <v>16809157</v>
      </c>
      <c r="C341">
        <v>16809135</v>
      </c>
      <c r="D341">
        <v>15203740</v>
      </c>
      <c r="E341">
        <v>1</v>
      </c>
      <c r="F341">
        <v>1</v>
      </c>
      <c r="G341">
        <v>1</v>
      </c>
      <c r="H341">
        <v>3</v>
      </c>
      <c r="I341" t="s">
        <v>999</v>
      </c>
      <c r="J341" t="s">
        <v>1000</v>
      </c>
      <c r="K341" t="s">
        <v>1001</v>
      </c>
      <c r="L341">
        <v>1348</v>
      </c>
      <c r="N341">
        <v>1009</v>
      </c>
      <c r="O341" t="s">
        <v>104</v>
      </c>
      <c r="P341" t="s">
        <v>104</v>
      </c>
      <c r="Q341">
        <v>1000</v>
      </c>
      <c r="X341">
        <v>4.0000000000000002E-4</v>
      </c>
      <c r="Y341">
        <v>15119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6</v>
      </c>
      <c r="AG341">
        <v>4.0000000000000002E-4</v>
      </c>
      <c r="AH341">
        <v>2</v>
      </c>
      <c r="AI341">
        <v>16809143</v>
      </c>
      <c r="AJ341">
        <v>369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ROW(Source!A285)</f>
        <v>285</v>
      </c>
      <c r="B342">
        <v>16809158</v>
      </c>
      <c r="C342">
        <v>16809135</v>
      </c>
      <c r="D342">
        <v>15163194</v>
      </c>
      <c r="E342">
        <v>17</v>
      </c>
      <c r="F342">
        <v>1</v>
      </c>
      <c r="G342">
        <v>1</v>
      </c>
      <c r="H342">
        <v>3</v>
      </c>
      <c r="I342" t="s">
        <v>1043</v>
      </c>
      <c r="J342" t="s">
        <v>6</v>
      </c>
      <c r="K342" t="s">
        <v>1044</v>
      </c>
      <c r="L342">
        <v>1346</v>
      </c>
      <c r="N342">
        <v>1009</v>
      </c>
      <c r="O342" t="s">
        <v>300</v>
      </c>
      <c r="P342" t="s">
        <v>300</v>
      </c>
      <c r="Q342">
        <v>1</v>
      </c>
      <c r="X342">
        <v>2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 t="s">
        <v>6</v>
      </c>
      <c r="AG342">
        <v>2</v>
      </c>
      <c r="AH342">
        <v>3</v>
      </c>
      <c r="AI342">
        <v>-1</v>
      </c>
      <c r="AJ342" t="s">
        <v>6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ROW(Source!A285)</f>
        <v>285</v>
      </c>
      <c r="B343">
        <v>16809159</v>
      </c>
      <c r="C343">
        <v>16809135</v>
      </c>
      <c r="D343">
        <v>15204468</v>
      </c>
      <c r="E343">
        <v>1</v>
      </c>
      <c r="F343">
        <v>1</v>
      </c>
      <c r="G343">
        <v>1</v>
      </c>
      <c r="H343">
        <v>3</v>
      </c>
      <c r="I343" t="s">
        <v>912</v>
      </c>
      <c r="J343" t="s">
        <v>913</v>
      </c>
      <c r="K343" t="s">
        <v>914</v>
      </c>
      <c r="L343">
        <v>1348</v>
      </c>
      <c r="N343">
        <v>1009</v>
      </c>
      <c r="O343" t="s">
        <v>104</v>
      </c>
      <c r="P343" t="s">
        <v>104</v>
      </c>
      <c r="Q343">
        <v>1000</v>
      </c>
      <c r="X343">
        <v>2.0000000000000001E-4</v>
      </c>
      <c r="Y343">
        <v>16950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0</v>
      </c>
      <c r="AF343" t="s">
        <v>6</v>
      </c>
      <c r="AG343">
        <v>2.0000000000000001E-4</v>
      </c>
      <c r="AH343">
        <v>2</v>
      </c>
      <c r="AI343">
        <v>16809144</v>
      </c>
      <c r="AJ343">
        <v>370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ROW(Source!A285)</f>
        <v>285</v>
      </c>
      <c r="B344">
        <v>16809160</v>
      </c>
      <c r="C344">
        <v>16809135</v>
      </c>
      <c r="D344">
        <v>15161722</v>
      </c>
      <c r="E344">
        <v>17</v>
      </c>
      <c r="F344">
        <v>1</v>
      </c>
      <c r="G344">
        <v>1</v>
      </c>
      <c r="H344">
        <v>3</v>
      </c>
      <c r="I344" t="s">
        <v>589</v>
      </c>
      <c r="J344" t="s">
        <v>6</v>
      </c>
      <c r="K344" t="s">
        <v>590</v>
      </c>
      <c r="L344">
        <v>1035</v>
      </c>
      <c r="N344">
        <v>1013</v>
      </c>
      <c r="O344" t="s">
        <v>182</v>
      </c>
      <c r="P344" t="s">
        <v>182</v>
      </c>
      <c r="Q344">
        <v>1</v>
      </c>
      <c r="X344">
        <v>10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 t="s">
        <v>6</v>
      </c>
      <c r="AG344">
        <v>10</v>
      </c>
      <c r="AH344">
        <v>2</v>
      </c>
      <c r="AI344">
        <v>16809145</v>
      </c>
      <c r="AJ344">
        <v>372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ROW(Source!A288)</f>
        <v>288</v>
      </c>
      <c r="B345">
        <v>16809170</v>
      </c>
      <c r="C345">
        <v>16809163</v>
      </c>
      <c r="D345">
        <v>15436556</v>
      </c>
      <c r="E345">
        <v>1</v>
      </c>
      <c r="F345">
        <v>1</v>
      </c>
      <c r="G345">
        <v>1</v>
      </c>
      <c r="H345">
        <v>1</v>
      </c>
      <c r="I345" t="s">
        <v>748</v>
      </c>
      <c r="J345" t="s">
        <v>6</v>
      </c>
      <c r="K345" t="s">
        <v>749</v>
      </c>
      <c r="L345">
        <v>1191</v>
      </c>
      <c r="N345">
        <v>1013</v>
      </c>
      <c r="O345" t="s">
        <v>708</v>
      </c>
      <c r="P345" t="s">
        <v>708</v>
      </c>
      <c r="Q345">
        <v>1</v>
      </c>
      <c r="X345">
        <v>7</v>
      </c>
      <c r="Y345">
        <v>0</v>
      </c>
      <c r="Z345">
        <v>0</v>
      </c>
      <c r="AA345">
        <v>0</v>
      </c>
      <c r="AB345">
        <v>9.6199999999999992</v>
      </c>
      <c r="AC345">
        <v>0</v>
      </c>
      <c r="AD345">
        <v>1</v>
      </c>
      <c r="AE345">
        <v>1</v>
      </c>
      <c r="AF345" t="s">
        <v>443</v>
      </c>
      <c r="AG345">
        <v>8.4</v>
      </c>
      <c r="AH345">
        <v>2</v>
      </c>
      <c r="AI345">
        <v>16809164</v>
      </c>
      <c r="AJ345">
        <v>373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ROW(Source!A288)</f>
        <v>288</v>
      </c>
      <c r="B346">
        <v>16809171</v>
      </c>
      <c r="C346">
        <v>16809163</v>
      </c>
      <c r="D346">
        <v>15167963</v>
      </c>
      <c r="E346">
        <v>1</v>
      </c>
      <c r="F346">
        <v>1</v>
      </c>
      <c r="G346">
        <v>1</v>
      </c>
      <c r="H346">
        <v>3</v>
      </c>
      <c r="I346" t="s">
        <v>993</v>
      </c>
      <c r="J346" t="s">
        <v>994</v>
      </c>
      <c r="K346" t="s">
        <v>995</v>
      </c>
      <c r="L346">
        <v>1346</v>
      </c>
      <c r="N346">
        <v>1009</v>
      </c>
      <c r="O346" t="s">
        <v>300</v>
      </c>
      <c r="P346" t="s">
        <v>300</v>
      </c>
      <c r="Q346">
        <v>1</v>
      </c>
      <c r="X346">
        <v>0.13</v>
      </c>
      <c r="Y346">
        <v>37.29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6</v>
      </c>
      <c r="AG346">
        <v>0.13</v>
      </c>
      <c r="AH346">
        <v>2</v>
      </c>
      <c r="AI346">
        <v>16809165</v>
      </c>
      <c r="AJ346">
        <v>374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ROW(Source!A288)</f>
        <v>288</v>
      </c>
      <c r="B347">
        <v>16809172</v>
      </c>
      <c r="C347">
        <v>16809163</v>
      </c>
      <c r="D347">
        <v>15163011</v>
      </c>
      <c r="E347">
        <v>17</v>
      </c>
      <c r="F347">
        <v>1</v>
      </c>
      <c r="G347">
        <v>1</v>
      </c>
      <c r="H347">
        <v>3</v>
      </c>
      <c r="I347" t="s">
        <v>1039</v>
      </c>
      <c r="J347" t="s">
        <v>6</v>
      </c>
      <c r="K347" t="s">
        <v>1040</v>
      </c>
      <c r="L347">
        <v>1358</v>
      </c>
      <c r="N347">
        <v>1010</v>
      </c>
      <c r="O347" t="s">
        <v>512</v>
      </c>
      <c r="P347" t="s">
        <v>512</v>
      </c>
      <c r="Q347">
        <v>10</v>
      </c>
      <c r="X347">
        <v>2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 t="s">
        <v>6</v>
      </c>
      <c r="AG347">
        <v>2</v>
      </c>
      <c r="AH347">
        <v>3</v>
      </c>
      <c r="AI347">
        <v>-1</v>
      </c>
      <c r="AJ347" t="s">
        <v>6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ROW(Source!A288)</f>
        <v>288</v>
      </c>
      <c r="B348">
        <v>16809173</v>
      </c>
      <c r="C348">
        <v>16809163</v>
      </c>
      <c r="D348">
        <v>15162072</v>
      </c>
      <c r="E348">
        <v>17</v>
      </c>
      <c r="F348">
        <v>1</v>
      </c>
      <c r="G348">
        <v>1</v>
      </c>
      <c r="H348">
        <v>3</v>
      </c>
      <c r="I348" t="s">
        <v>1041</v>
      </c>
      <c r="J348" t="s">
        <v>6</v>
      </c>
      <c r="K348" t="s">
        <v>1042</v>
      </c>
      <c r="L348">
        <v>1348</v>
      </c>
      <c r="N348">
        <v>1009</v>
      </c>
      <c r="O348" t="s">
        <v>104</v>
      </c>
      <c r="P348" t="s">
        <v>104</v>
      </c>
      <c r="Q348">
        <v>1000</v>
      </c>
      <c r="X348">
        <v>1E-4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 t="s">
        <v>6</v>
      </c>
      <c r="AG348">
        <v>1E-4</v>
      </c>
      <c r="AH348">
        <v>3</v>
      </c>
      <c r="AI348">
        <v>-1</v>
      </c>
      <c r="AJ348" t="s">
        <v>6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ROW(Source!A288)</f>
        <v>288</v>
      </c>
      <c r="B349">
        <v>16809174</v>
      </c>
      <c r="C349">
        <v>16809163</v>
      </c>
      <c r="D349">
        <v>15203740</v>
      </c>
      <c r="E349">
        <v>1</v>
      </c>
      <c r="F349">
        <v>1</v>
      </c>
      <c r="G349">
        <v>1</v>
      </c>
      <c r="H349">
        <v>3</v>
      </c>
      <c r="I349" t="s">
        <v>999</v>
      </c>
      <c r="J349" t="s">
        <v>1000</v>
      </c>
      <c r="K349" t="s">
        <v>1001</v>
      </c>
      <c r="L349">
        <v>1348</v>
      </c>
      <c r="N349">
        <v>1009</v>
      </c>
      <c r="O349" t="s">
        <v>104</v>
      </c>
      <c r="P349" t="s">
        <v>104</v>
      </c>
      <c r="Q349">
        <v>1000</v>
      </c>
      <c r="X349">
        <v>2.5999999999999998E-4</v>
      </c>
      <c r="Y349">
        <v>15119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6</v>
      </c>
      <c r="AG349">
        <v>2.5999999999999998E-4</v>
      </c>
      <c r="AH349">
        <v>2</v>
      </c>
      <c r="AI349">
        <v>16809166</v>
      </c>
      <c r="AJ349">
        <v>375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ROW(Source!A288)</f>
        <v>288</v>
      </c>
      <c r="B350">
        <v>16809175</v>
      </c>
      <c r="C350">
        <v>16809163</v>
      </c>
      <c r="D350">
        <v>15204468</v>
      </c>
      <c r="E350">
        <v>1</v>
      </c>
      <c r="F350">
        <v>1</v>
      </c>
      <c r="G350">
        <v>1</v>
      </c>
      <c r="H350">
        <v>3</v>
      </c>
      <c r="I350" t="s">
        <v>912</v>
      </c>
      <c r="J350" t="s">
        <v>913</v>
      </c>
      <c r="K350" t="s">
        <v>914</v>
      </c>
      <c r="L350">
        <v>1348</v>
      </c>
      <c r="N350">
        <v>1009</v>
      </c>
      <c r="O350" t="s">
        <v>104</v>
      </c>
      <c r="P350" t="s">
        <v>104</v>
      </c>
      <c r="Q350">
        <v>1000</v>
      </c>
      <c r="X350">
        <v>1.2999999999999999E-4</v>
      </c>
      <c r="Y350">
        <v>16950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6</v>
      </c>
      <c r="AG350">
        <v>1.2999999999999999E-4</v>
      </c>
      <c r="AH350">
        <v>2</v>
      </c>
      <c r="AI350">
        <v>16809167</v>
      </c>
      <c r="AJ350">
        <v>376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ROW(Source!A288)</f>
        <v>288</v>
      </c>
      <c r="B351">
        <v>16809176</v>
      </c>
      <c r="C351">
        <v>16809163</v>
      </c>
      <c r="D351">
        <v>15163207</v>
      </c>
      <c r="E351">
        <v>17</v>
      </c>
      <c r="F351">
        <v>1</v>
      </c>
      <c r="G351">
        <v>1</v>
      </c>
      <c r="H351">
        <v>3</v>
      </c>
      <c r="I351" t="s">
        <v>601</v>
      </c>
      <c r="J351" t="s">
        <v>6</v>
      </c>
      <c r="K351" t="s">
        <v>602</v>
      </c>
      <c r="L351">
        <v>1354</v>
      </c>
      <c r="N351">
        <v>1010</v>
      </c>
      <c r="O351" t="s">
        <v>350</v>
      </c>
      <c r="P351" t="s">
        <v>350</v>
      </c>
      <c r="Q351">
        <v>1</v>
      </c>
      <c r="X351">
        <v>10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 t="s">
        <v>6</v>
      </c>
      <c r="AG351">
        <v>10</v>
      </c>
      <c r="AH351">
        <v>2</v>
      </c>
      <c r="AI351">
        <v>16809168</v>
      </c>
      <c r="AJ351">
        <v>377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ROW(Source!A291)</f>
        <v>291</v>
      </c>
      <c r="B352">
        <v>16809194</v>
      </c>
      <c r="C352">
        <v>16809180</v>
      </c>
      <c r="D352">
        <v>15435721</v>
      </c>
      <c r="E352">
        <v>1</v>
      </c>
      <c r="F352">
        <v>1</v>
      </c>
      <c r="G352">
        <v>1</v>
      </c>
      <c r="H352">
        <v>1</v>
      </c>
      <c r="I352" t="s">
        <v>739</v>
      </c>
      <c r="J352" t="s">
        <v>6</v>
      </c>
      <c r="K352" t="s">
        <v>740</v>
      </c>
      <c r="L352">
        <v>1191</v>
      </c>
      <c r="N352">
        <v>1013</v>
      </c>
      <c r="O352" t="s">
        <v>708</v>
      </c>
      <c r="P352" t="s">
        <v>708</v>
      </c>
      <c r="Q352">
        <v>1</v>
      </c>
      <c r="X352">
        <v>96.95</v>
      </c>
      <c r="Y352">
        <v>0</v>
      </c>
      <c r="Z352">
        <v>0</v>
      </c>
      <c r="AA352">
        <v>0</v>
      </c>
      <c r="AB352">
        <v>9.51</v>
      </c>
      <c r="AC352">
        <v>0</v>
      </c>
      <c r="AD352">
        <v>1</v>
      </c>
      <c r="AE352">
        <v>1</v>
      </c>
      <c r="AF352" t="s">
        <v>443</v>
      </c>
      <c r="AG352">
        <v>116.34</v>
      </c>
      <c r="AH352">
        <v>2</v>
      </c>
      <c r="AI352">
        <v>16809181</v>
      </c>
      <c r="AJ352">
        <v>379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ROW(Source!A291)</f>
        <v>291</v>
      </c>
      <c r="B353">
        <v>16809195</v>
      </c>
      <c r="C353">
        <v>16809180</v>
      </c>
      <c r="D353">
        <v>15430395</v>
      </c>
      <c r="E353">
        <v>1</v>
      </c>
      <c r="F353">
        <v>1</v>
      </c>
      <c r="G353">
        <v>1</v>
      </c>
      <c r="H353">
        <v>1</v>
      </c>
      <c r="I353" t="s">
        <v>709</v>
      </c>
      <c r="J353" t="s">
        <v>6</v>
      </c>
      <c r="K353" t="s">
        <v>710</v>
      </c>
      <c r="L353">
        <v>1191</v>
      </c>
      <c r="N353">
        <v>1013</v>
      </c>
      <c r="O353" t="s">
        <v>708</v>
      </c>
      <c r="P353" t="s">
        <v>708</v>
      </c>
      <c r="Q353">
        <v>1</v>
      </c>
      <c r="X353">
        <v>0.01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2</v>
      </c>
      <c r="AF353" t="s">
        <v>443</v>
      </c>
      <c r="AG353">
        <v>1.2E-2</v>
      </c>
      <c r="AH353">
        <v>2</v>
      </c>
      <c r="AI353">
        <v>16809182</v>
      </c>
      <c r="AJ353">
        <v>380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ROW(Source!A291)</f>
        <v>291</v>
      </c>
      <c r="B354">
        <v>16809196</v>
      </c>
      <c r="C354">
        <v>16809180</v>
      </c>
      <c r="D354">
        <v>15247576</v>
      </c>
      <c r="E354">
        <v>1</v>
      </c>
      <c r="F354">
        <v>1</v>
      </c>
      <c r="G354">
        <v>1</v>
      </c>
      <c r="H354">
        <v>2</v>
      </c>
      <c r="I354" t="s">
        <v>1002</v>
      </c>
      <c r="J354" t="s">
        <v>1003</v>
      </c>
      <c r="K354" t="s">
        <v>1004</v>
      </c>
      <c r="L354">
        <v>1368</v>
      </c>
      <c r="N354">
        <v>1011</v>
      </c>
      <c r="O354" t="s">
        <v>714</v>
      </c>
      <c r="P354" t="s">
        <v>714</v>
      </c>
      <c r="Q354">
        <v>1</v>
      </c>
      <c r="X354">
        <v>3.0000000000000001E-3</v>
      </c>
      <c r="Y354">
        <v>0</v>
      </c>
      <c r="Z354">
        <v>83.43</v>
      </c>
      <c r="AA354">
        <v>13.5</v>
      </c>
      <c r="AB354">
        <v>0</v>
      </c>
      <c r="AC354">
        <v>0</v>
      </c>
      <c r="AD354">
        <v>1</v>
      </c>
      <c r="AE354">
        <v>0</v>
      </c>
      <c r="AF354" t="s">
        <v>443</v>
      </c>
      <c r="AG354">
        <v>3.5999999999999999E-3</v>
      </c>
      <c r="AH354">
        <v>2</v>
      </c>
      <c r="AI354">
        <v>16809183</v>
      </c>
      <c r="AJ354">
        <v>381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ROW(Source!A291)</f>
        <v>291</v>
      </c>
      <c r="B355">
        <v>16809197</v>
      </c>
      <c r="C355">
        <v>16809180</v>
      </c>
      <c r="D355">
        <v>15247678</v>
      </c>
      <c r="E355">
        <v>1</v>
      </c>
      <c r="F355">
        <v>1</v>
      </c>
      <c r="G355">
        <v>1</v>
      </c>
      <c r="H355">
        <v>2</v>
      </c>
      <c r="I355" t="s">
        <v>1005</v>
      </c>
      <c r="J355" t="s">
        <v>1006</v>
      </c>
      <c r="K355" t="s">
        <v>1007</v>
      </c>
      <c r="L355">
        <v>1368</v>
      </c>
      <c r="N355">
        <v>1011</v>
      </c>
      <c r="O355" t="s">
        <v>714</v>
      </c>
      <c r="P355" t="s">
        <v>714</v>
      </c>
      <c r="Q355">
        <v>1</v>
      </c>
      <c r="X355">
        <v>4.0000000000000001E-3</v>
      </c>
      <c r="Y355">
        <v>0</v>
      </c>
      <c r="Z355">
        <v>88.01</v>
      </c>
      <c r="AA355">
        <v>11.6</v>
      </c>
      <c r="AB355">
        <v>0</v>
      </c>
      <c r="AC355">
        <v>0</v>
      </c>
      <c r="AD355">
        <v>1</v>
      </c>
      <c r="AE355">
        <v>0</v>
      </c>
      <c r="AF355" t="s">
        <v>443</v>
      </c>
      <c r="AG355">
        <v>4.7999999999999996E-3</v>
      </c>
      <c r="AH355">
        <v>2</v>
      </c>
      <c r="AI355">
        <v>16809184</v>
      </c>
      <c r="AJ355">
        <v>382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ROW(Source!A291)</f>
        <v>291</v>
      </c>
      <c r="B356">
        <v>16809198</v>
      </c>
      <c r="C356">
        <v>16809180</v>
      </c>
      <c r="D356">
        <v>15248793</v>
      </c>
      <c r="E356">
        <v>1</v>
      </c>
      <c r="F356">
        <v>1</v>
      </c>
      <c r="G356">
        <v>1</v>
      </c>
      <c r="H356">
        <v>2</v>
      </c>
      <c r="I356" t="s">
        <v>1008</v>
      </c>
      <c r="J356" t="s">
        <v>1009</v>
      </c>
      <c r="K356" t="s">
        <v>1010</v>
      </c>
      <c r="L356">
        <v>1368</v>
      </c>
      <c r="N356">
        <v>1011</v>
      </c>
      <c r="O356" t="s">
        <v>714</v>
      </c>
      <c r="P356" t="s">
        <v>714</v>
      </c>
      <c r="Q356">
        <v>1</v>
      </c>
      <c r="X356">
        <v>1.27</v>
      </c>
      <c r="Y356">
        <v>0</v>
      </c>
      <c r="Z356">
        <v>29.67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443</v>
      </c>
      <c r="AG356">
        <v>1.524</v>
      </c>
      <c r="AH356">
        <v>2</v>
      </c>
      <c r="AI356">
        <v>16809185</v>
      </c>
      <c r="AJ356">
        <v>383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ROW(Source!A291)</f>
        <v>291</v>
      </c>
      <c r="B357">
        <v>16809199</v>
      </c>
      <c r="C357">
        <v>16809180</v>
      </c>
      <c r="D357">
        <v>15249310</v>
      </c>
      <c r="E357">
        <v>1</v>
      </c>
      <c r="F357">
        <v>1</v>
      </c>
      <c r="G357">
        <v>1</v>
      </c>
      <c r="H357">
        <v>2</v>
      </c>
      <c r="I357" t="s">
        <v>1011</v>
      </c>
      <c r="J357" t="s">
        <v>1012</v>
      </c>
      <c r="K357" t="s">
        <v>1013</v>
      </c>
      <c r="L357">
        <v>1368</v>
      </c>
      <c r="N357">
        <v>1011</v>
      </c>
      <c r="O357" t="s">
        <v>714</v>
      </c>
      <c r="P357" t="s">
        <v>714</v>
      </c>
      <c r="Q357">
        <v>1</v>
      </c>
      <c r="X357">
        <v>16.38</v>
      </c>
      <c r="Y357">
        <v>0</v>
      </c>
      <c r="Z357">
        <v>26.25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443</v>
      </c>
      <c r="AG357">
        <v>19.655999999999999</v>
      </c>
      <c r="AH357">
        <v>2</v>
      </c>
      <c r="AI357">
        <v>16809186</v>
      </c>
      <c r="AJ357">
        <v>384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ROW(Source!A291)</f>
        <v>291</v>
      </c>
      <c r="B358">
        <v>16809200</v>
      </c>
      <c r="C358">
        <v>16809180</v>
      </c>
      <c r="D358">
        <v>15167286</v>
      </c>
      <c r="E358">
        <v>1</v>
      </c>
      <c r="F358">
        <v>1</v>
      </c>
      <c r="G358">
        <v>1</v>
      </c>
      <c r="H358">
        <v>3</v>
      </c>
      <c r="I358" t="s">
        <v>781</v>
      </c>
      <c r="J358" t="s">
        <v>782</v>
      </c>
      <c r="K358" t="s">
        <v>783</v>
      </c>
      <c r="L358">
        <v>1339</v>
      </c>
      <c r="N358">
        <v>1007</v>
      </c>
      <c r="O358" t="s">
        <v>254</v>
      </c>
      <c r="P358" t="s">
        <v>254</v>
      </c>
      <c r="Q358">
        <v>1</v>
      </c>
      <c r="X358">
        <v>0.14399999999999999</v>
      </c>
      <c r="Y358">
        <v>2.44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6</v>
      </c>
      <c r="AG358">
        <v>0.14399999999999999</v>
      </c>
      <c r="AH358">
        <v>2</v>
      </c>
      <c r="AI358">
        <v>16809187</v>
      </c>
      <c r="AJ358">
        <v>385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ROW(Source!A291)</f>
        <v>291</v>
      </c>
      <c r="B359">
        <v>16809201</v>
      </c>
      <c r="C359">
        <v>16809180</v>
      </c>
      <c r="D359">
        <v>15169957</v>
      </c>
      <c r="E359">
        <v>1</v>
      </c>
      <c r="F359">
        <v>1</v>
      </c>
      <c r="G359">
        <v>1</v>
      </c>
      <c r="H359">
        <v>3</v>
      </c>
      <c r="I359" t="s">
        <v>1014</v>
      </c>
      <c r="J359" t="s">
        <v>1015</v>
      </c>
      <c r="K359" t="s">
        <v>1016</v>
      </c>
      <c r="L359">
        <v>1348</v>
      </c>
      <c r="N359">
        <v>1009</v>
      </c>
      <c r="O359" t="s">
        <v>104</v>
      </c>
      <c r="P359" t="s">
        <v>104</v>
      </c>
      <c r="Q359">
        <v>1000</v>
      </c>
      <c r="X359">
        <v>8.9999999999999998E-4</v>
      </c>
      <c r="Y359">
        <v>13186.74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6</v>
      </c>
      <c r="AG359">
        <v>8.9999999999999998E-4</v>
      </c>
      <c r="AH359">
        <v>2</v>
      </c>
      <c r="AI359">
        <v>16809188</v>
      </c>
      <c r="AJ359">
        <v>386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ROW(Source!A291)</f>
        <v>291</v>
      </c>
      <c r="B360">
        <v>16809202</v>
      </c>
      <c r="C360">
        <v>16809180</v>
      </c>
      <c r="D360">
        <v>15170076</v>
      </c>
      <c r="E360">
        <v>1</v>
      </c>
      <c r="F360">
        <v>1</v>
      </c>
      <c r="G360">
        <v>1</v>
      </c>
      <c r="H360">
        <v>3</v>
      </c>
      <c r="I360" t="s">
        <v>741</v>
      </c>
      <c r="J360" t="s">
        <v>742</v>
      </c>
      <c r="K360" t="s">
        <v>743</v>
      </c>
      <c r="L360">
        <v>1356</v>
      </c>
      <c r="N360">
        <v>1010</v>
      </c>
      <c r="O360" t="s">
        <v>744</v>
      </c>
      <c r="P360" t="s">
        <v>744</v>
      </c>
      <c r="Q360">
        <v>1000</v>
      </c>
      <c r="X360">
        <v>0.14299999999999999</v>
      </c>
      <c r="Y360">
        <v>180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6</v>
      </c>
      <c r="AG360">
        <v>0.14299999999999999</v>
      </c>
      <c r="AH360">
        <v>2</v>
      </c>
      <c r="AI360">
        <v>16809189</v>
      </c>
      <c r="AJ360">
        <v>387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ROW(Source!A291)</f>
        <v>291</v>
      </c>
      <c r="B361">
        <v>16809203</v>
      </c>
      <c r="C361">
        <v>16809180</v>
      </c>
      <c r="D361">
        <v>15172018</v>
      </c>
      <c r="E361">
        <v>1</v>
      </c>
      <c r="F361">
        <v>1</v>
      </c>
      <c r="G361">
        <v>1</v>
      </c>
      <c r="H361">
        <v>3</v>
      </c>
      <c r="I361" t="s">
        <v>1017</v>
      </c>
      <c r="J361" t="s">
        <v>1018</v>
      </c>
      <c r="K361" t="s">
        <v>1019</v>
      </c>
      <c r="L361">
        <v>1346</v>
      </c>
      <c r="N361">
        <v>1009</v>
      </c>
      <c r="O361" t="s">
        <v>300</v>
      </c>
      <c r="P361" t="s">
        <v>300</v>
      </c>
      <c r="Q361">
        <v>1</v>
      </c>
      <c r="X361">
        <v>1.6000000000000001E-3</v>
      </c>
      <c r="Y361">
        <v>2.15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6</v>
      </c>
      <c r="AG361">
        <v>1.6000000000000001E-3</v>
      </c>
      <c r="AH361">
        <v>2</v>
      </c>
      <c r="AI361">
        <v>16809190</v>
      </c>
      <c r="AJ361">
        <v>388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ROW(Source!A291)</f>
        <v>291</v>
      </c>
      <c r="B362">
        <v>16809204</v>
      </c>
      <c r="C362">
        <v>16809180</v>
      </c>
      <c r="D362">
        <v>16567506</v>
      </c>
      <c r="E362">
        <v>17</v>
      </c>
      <c r="F362">
        <v>1</v>
      </c>
      <c r="G362">
        <v>1</v>
      </c>
      <c r="H362">
        <v>3</v>
      </c>
      <c r="I362" t="s">
        <v>1045</v>
      </c>
      <c r="J362" t="s">
        <v>6</v>
      </c>
      <c r="K362" t="s">
        <v>1046</v>
      </c>
      <c r="L362">
        <v>1348</v>
      </c>
      <c r="N362">
        <v>1009</v>
      </c>
      <c r="O362" t="s">
        <v>104</v>
      </c>
      <c r="P362" t="s">
        <v>104</v>
      </c>
      <c r="Q362">
        <v>1000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1</v>
      </c>
      <c r="AD362">
        <v>0</v>
      </c>
      <c r="AE362">
        <v>0</v>
      </c>
      <c r="AF362" t="s">
        <v>6</v>
      </c>
      <c r="AG362">
        <v>0</v>
      </c>
      <c r="AH362">
        <v>3</v>
      </c>
      <c r="AI362">
        <v>-1</v>
      </c>
      <c r="AJ362" t="s">
        <v>6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ROW(Source!A291)</f>
        <v>291</v>
      </c>
      <c r="B363">
        <v>16809205</v>
      </c>
      <c r="C363">
        <v>16809180</v>
      </c>
      <c r="D363">
        <v>15164034</v>
      </c>
      <c r="E363">
        <v>17</v>
      </c>
      <c r="F363">
        <v>1</v>
      </c>
      <c r="G363">
        <v>1</v>
      </c>
      <c r="H363">
        <v>3</v>
      </c>
      <c r="I363" t="s">
        <v>614</v>
      </c>
      <c r="J363" t="s">
        <v>6</v>
      </c>
      <c r="K363" t="s">
        <v>615</v>
      </c>
      <c r="L363">
        <v>1354</v>
      </c>
      <c r="N363">
        <v>1010</v>
      </c>
      <c r="O363" t="s">
        <v>350</v>
      </c>
      <c r="P363" t="s">
        <v>350</v>
      </c>
      <c r="Q363">
        <v>1</v>
      </c>
      <c r="X363">
        <v>143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 t="s">
        <v>6</v>
      </c>
      <c r="AG363">
        <v>143</v>
      </c>
      <c r="AH363">
        <v>2</v>
      </c>
      <c r="AI363">
        <v>16809191</v>
      </c>
      <c r="AJ363">
        <v>389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ROW(Source!A291)</f>
        <v>291</v>
      </c>
      <c r="B364">
        <v>16809206</v>
      </c>
      <c r="C364">
        <v>16809180</v>
      </c>
      <c r="D364">
        <v>16567503</v>
      </c>
      <c r="E364">
        <v>17</v>
      </c>
      <c r="F364">
        <v>1</v>
      </c>
      <c r="G364">
        <v>1</v>
      </c>
      <c r="H364">
        <v>3</v>
      </c>
      <c r="I364" t="s">
        <v>1047</v>
      </c>
      <c r="J364" t="s">
        <v>6</v>
      </c>
      <c r="K364" t="s">
        <v>1048</v>
      </c>
      <c r="L364">
        <v>1398</v>
      </c>
      <c r="N364">
        <v>1013</v>
      </c>
      <c r="O364" t="s">
        <v>1049</v>
      </c>
      <c r="P364" t="s">
        <v>1049</v>
      </c>
      <c r="Q364">
        <v>1</v>
      </c>
      <c r="X364">
        <v>10.050000000000001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 t="s">
        <v>6</v>
      </c>
      <c r="AG364">
        <v>10.050000000000001</v>
      </c>
      <c r="AH364">
        <v>3</v>
      </c>
      <c r="AI364">
        <v>-1</v>
      </c>
      <c r="AJ364" t="s">
        <v>6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ROW(Source!A291)</f>
        <v>291</v>
      </c>
      <c r="B365">
        <v>16809207</v>
      </c>
      <c r="C365">
        <v>16809180</v>
      </c>
      <c r="D365">
        <v>15163160</v>
      </c>
      <c r="E365">
        <v>17</v>
      </c>
      <c r="F365">
        <v>1</v>
      </c>
      <c r="G365">
        <v>1</v>
      </c>
      <c r="H365">
        <v>3</v>
      </c>
      <c r="I365" t="s">
        <v>1050</v>
      </c>
      <c r="J365" t="s">
        <v>6</v>
      </c>
      <c r="K365" t="s">
        <v>1051</v>
      </c>
      <c r="L365">
        <v>1354</v>
      </c>
      <c r="N365">
        <v>1010</v>
      </c>
      <c r="O365" t="s">
        <v>350</v>
      </c>
      <c r="P365" t="s">
        <v>350</v>
      </c>
      <c r="Q365">
        <v>1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1</v>
      </c>
      <c r="AD365">
        <v>0</v>
      </c>
      <c r="AE365">
        <v>0</v>
      </c>
      <c r="AF365" t="s">
        <v>6</v>
      </c>
      <c r="AG365">
        <v>0</v>
      </c>
      <c r="AH365">
        <v>3</v>
      </c>
      <c r="AI365">
        <v>-1</v>
      </c>
      <c r="AJ365" t="s">
        <v>6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ROW(Source!A295)</f>
        <v>295</v>
      </c>
      <c r="B366">
        <v>16809220</v>
      </c>
      <c r="C366">
        <v>16809211</v>
      </c>
      <c r="D366">
        <v>15430447</v>
      </c>
      <c r="E366">
        <v>1</v>
      </c>
      <c r="F366">
        <v>1</v>
      </c>
      <c r="G366">
        <v>1</v>
      </c>
      <c r="H366">
        <v>1</v>
      </c>
      <c r="I366" t="s">
        <v>765</v>
      </c>
      <c r="J366" t="s">
        <v>6</v>
      </c>
      <c r="K366" t="s">
        <v>766</v>
      </c>
      <c r="L366">
        <v>1191</v>
      </c>
      <c r="N366">
        <v>1013</v>
      </c>
      <c r="O366" t="s">
        <v>708</v>
      </c>
      <c r="P366" t="s">
        <v>708</v>
      </c>
      <c r="Q366">
        <v>1</v>
      </c>
      <c r="X366">
        <v>1.47</v>
      </c>
      <c r="Y366">
        <v>0</v>
      </c>
      <c r="Z366">
        <v>0</v>
      </c>
      <c r="AA366">
        <v>0</v>
      </c>
      <c r="AB366">
        <v>9.07</v>
      </c>
      <c r="AC366">
        <v>0</v>
      </c>
      <c r="AD366">
        <v>1</v>
      </c>
      <c r="AE366">
        <v>1</v>
      </c>
      <c r="AF366" t="s">
        <v>443</v>
      </c>
      <c r="AG366">
        <v>1.764</v>
      </c>
      <c r="AH366">
        <v>2</v>
      </c>
      <c r="AI366">
        <v>16809212</v>
      </c>
      <c r="AJ366">
        <v>392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ROW(Source!A295)</f>
        <v>295</v>
      </c>
      <c r="B367">
        <v>16809221</v>
      </c>
      <c r="C367">
        <v>16809211</v>
      </c>
      <c r="D367">
        <v>15430395</v>
      </c>
      <c r="E367">
        <v>1</v>
      </c>
      <c r="F367">
        <v>1</v>
      </c>
      <c r="G367">
        <v>1</v>
      </c>
      <c r="H367">
        <v>1</v>
      </c>
      <c r="I367" t="s">
        <v>709</v>
      </c>
      <c r="J367" t="s">
        <v>6</v>
      </c>
      <c r="K367" t="s">
        <v>710</v>
      </c>
      <c r="L367">
        <v>1191</v>
      </c>
      <c r="N367">
        <v>1013</v>
      </c>
      <c r="O367" t="s">
        <v>708</v>
      </c>
      <c r="P367" t="s">
        <v>708</v>
      </c>
      <c r="Q367">
        <v>1</v>
      </c>
      <c r="X367">
        <v>0.01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2</v>
      </c>
      <c r="AF367" t="s">
        <v>443</v>
      </c>
      <c r="AG367">
        <v>1.2E-2</v>
      </c>
      <c r="AH367">
        <v>2</v>
      </c>
      <c r="AI367">
        <v>16809213</v>
      </c>
      <c r="AJ367">
        <v>393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ROW(Source!A295)</f>
        <v>295</v>
      </c>
      <c r="B368">
        <v>16809222</v>
      </c>
      <c r="C368">
        <v>16809211</v>
      </c>
      <c r="D368">
        <v>15249073</v>
      </c>
      <c r="E368">
        <v>1</v>
      </c>
      <c r="F368">
        <v>1</v>
      </c>
      <c r="G368">
        <v>1</v>
      </c>
      <c r="H368">
        <v>2</v>
      </c>
      <c r="I368" t="s">
        <v>724</v>
      </c>
      <c r="J368" t="s">
        <v>725</v>
      </c>
      <c r="K368" t="s">
        <v>726</v>
      </c>
      <c r="L368">
        <v>1368</v>
      </c>
      <c r="N368">
        <v>1011</v>
      </c>
      <c r="O368" t="s">
        <v>714</v>
      </c>
      <c r="P368" t="s">
        <v>714</v>
      </c>
      <c r="Q368">
        <v>1</v>
      </c>
      <c r="X368">
        <v>0.01</v>
      </c>
      <c r="Y368">
        <v>0</v>
      </c>
      <c r="Z368">
        <v>65.709999999999994</v>
      </c>
      <c r="AA368">
        <v>11.6</v>
      </c>
      <c r="AB368">
        <v>0</v>
      </c>
      <c r="AC368">
        <v>0</v>
      </c>
      <c r="AD368">
        <v>1</v>
      </c>
      <c r="AE368">
        <v>0</v>
      </c>
      <c r="AF368" t="s">
        <v>443</v>
      </c>
      <c r="AG368">
        <v>1.2E-2</v>
      </c>
      <c r="AH368">
        <v>2</v>
      </c>
      <c r="AI368">
        <v>16809214</v>
      </c>
      <c r="AJ368">
        <v>394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ROW(Source!A295)</f>
        <v>295</v>
      </c>
      <c r="B369">
        <v>16809223</v>
      </c>
      <c r="C369">
        <v>16809211</v>
      </c>
      <c r="D369">
        <v>15249377</v>
      </c>
      <c r="E369">
        <v>1</v>
      </c>
      <c r="F369">
        <v>1</v>
      </c>
      <c r="G369">
        <v>1</v>
      </c>
      <c r="H369">
        <v>2</v>
      </c>
      <c r="I369" t="s">
        <v>952</v>
      </c>
      <c r="J369" t="s">
        <v>953</v>
      </c>
      <c r="K369" t="s">
        <v>954</v>
      </c>
      <c r="L369">
        <v>1368</v>
      </c>
      <c r="N369">
        <v>1011</v>
      </c>
      <c r="O369" t="s">
        <v>714</v>
      </c>
      <c r="P369" t="s">
        <v>714</v>
      </c>
      <c r="Q369">
        <v>1</v>
      </c>
      <c r="X369">
        <v>0.35</v>
      </c>
      <c r="Y369">
        <v>0</v>
      </c>
      <c r="Z369">
        <v>8.1</v>
      </c>
      <c r="AA369">
        <v>0</v>
      </c>
      <c r="AB369">
        <v>0</v>
      </c>
      <c r="AC369">
        <v>0</v>
      </c>
      <c r="AD369">
        <v>1</v>
      </c>
      <c r="AE369">
        <v>0</v>
      </c>
      <c r="AF369" t="s">
        <v>443</v>
      </c>
      <c r="AG369">
        <v>0.42</v>
      </c>
      <c r="AH369">
        <v>2</v>
      </c>
      <c r="AI369">
        <v>16809215</v>
      </c>
      <c r="AJ369">
        <v>395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ROW(Source!A295)</f>
        <v>295</v>
      </c>
      <c r="B370">
        <v>16809224</v>
      </c>
      <c r="C370">
        <v>16809211</v>
      </c>
      <c r="D370">
        <v>15165267</v>
      </c>
      <c r="E370">
        <v>1</v>
      </c>
      <c r="F370">
        <v>1</v>
      </c>
      <c r="G370">
        <v>1</v>
      </c>
      <c r="H370">
        <v>3</v>
      </c>
      <c r="I370" t="s">
        <v>1020</v>
      </c>
      <c r="J370" t="s">
        <v>1021</v>
      </c>
      <c r="K370" t="s">
        <v>1022</v>
      </c>
      <c r="L370">
        <v>1356</v>
      </c>
      <c r="N370">
        <v>1010</v>
      </c>
      <c r="O370" t="s">
        <v>744</v>
      </c>
      <c r="P370" t="s">
        <v>744</v>
      </c>
      <c r="Q370">
        <v>1000</v>
      </c>
      <c r="X370">
        <v>2E-3</v>
      </c>
      <c r="Y370">
        <v>3450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6</v>
      </c>
      <c r="AG370">
        <v>2E-3</v>
      </c>
      <c r="AH370">
        <v>2</v>
      </c>
      <c r="AI370">
        <v>16809216</v>
      </c>
      <c r="AJ370">
        <v>396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ROW(Source!A295)</f>
        <v>295</v>
      </c>
      <c r="B371">
        <v>16809225</v>
      </c>
      <c r="C371">
        <v>16809211</v>
      </c>
      <c r="D371">
        <v>15168763</v>
      </c>
      <c r="E371">
        <v>1</v>
      </c>
      <c r="F371">
        <v>1</v>
      </c>
      <c r="G371">
        <v>1</v>
      </c>
      <c r="H371">
        <v>3</v>
      </c>
      <c r="I371" t="s">
        <v>1023</v>
      </c>
      <c r="J371" t="s">
        <v>1024</v>
      </c>
      <c r="K371" t="s">
        <v>1025</v>
      </c>
      <c r="L371">
        <v>1348</v>
      </c>
      <c r="N371">
        <v>1009</v>
      </c>
      <c r="O371" t="s">
        <v>104</v>
      </c>
      <c r="P371" t="s">
        <v>104</v>
      </c>
      <c r="Q371">
        <v>1000</v>
      </c>
      <c r="X371">
        <v>1.3999999999999999E-4</v>
      </c>
      <c r="Y371">
        <v>10362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0</v>
      </c>
      <c r="AF371" t="s">
        <v>6</v>
      </c>
      <c r="AG371">
        <v>1.3999999999999999E-4</v>
      </c>
      <c r="AH371">
        <v>2</v>
      </c>
      <c r="AI371">
        <v>16809217</v>
      </c>
      <c r="AJ371">
        <v>397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ROW(Source!A295)</f>
        <v>295</v>
      </c>
      <c r="B372">
        <v>16809226</v>
      </c>
      <c r="C372">
        <v>16809211</v>
      </c>
      <c r="D372">
        <v>15169923</v>
      </c>
      <c r="E372">
        <v>1</v>
      </c>
      <c r="F372">
        <v>1</v>
      </c>
      <c r="G372">
        <v>1</v>
      </c>
      <c r="H372">
        <v>3</v>
      </c>
      <c r="I372" t="s">
        <v>1026</v>
      </c>
      <c r="J372" t="s">
        <v>1027</v>
      </c>
      <c r="K372" t="s">
        <v>1028</v>
      </c>
      <c r="L372">
        <v>1348</v>
      </c>
      <c r="N372">
        <v>1009</v>
      </c>
      <c r="O372" t="s">
        <v>104</v>
      </c>
      <c r="P372" t="s">
        <v>104</v>
      </c>
      <c r="Q372">
        <v>1000</v>
      </c>
      <c r="X372">
        <v>1.1000000000000001E-3</v>
      </c>
      <c r="Y372">
        <v>15323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6</v>
      </c>
      <c r="AG372">
        <v>1.1000000000000001E-3</v>
      </c>
      <c r="AH372">
        <v>2</v>
      </c>
      <c r="AI372">
        <v>16809218</v>
      </c>
      <c r="AJ372">
        <v>398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ROW(Source!A295)</f>
        <v>295</v>
      </c>
      <c r="B373">
        <v>16809227</v>
      </c>
      <c r="C373">
        <v>16809211</v>
      </c>
      <c r="D373">
        <v>15162883</v>
      </c>
      <c r="E373">
        <v>17</v>
      </c>
      <c r="F373">
        <v>1</v>
      </c>
      <c r="G373">
        <v>1</v>
      </c>
      <c r="H373">
        <v>3</v>
      </c>
      <c r="I373" t="s">
        <v>1052</v>
      </c>
      <c r="J373" t="s">
        <v>6</v>
      </c>
      <c r="K373" t="s">
        <v>1053</v>
      </c>
      <c r="L373">
        <v>1354</v>
      </c>
      <c r="N373">
        <v>1010</v>
      </c>
      <c r="O373" t="s">
        <v>350</v>
      </c>
      <c r="P373" t="s">
        <v>350</v>
      </c>
      <c r="Q373">
        <v>1</v>
      </c>
      <c r="X373">
        <v>1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 t="s">
        <v>6</v>
      </c>
      <c r="AG373">
        <v>1</v>
      </c>
      <c r="AH373">
        <v>3</v>
      </c>
      <c r="AI373">
        <v>-1</v>
      </c>
      <c r="AJ373" t="s">
        <v>6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ROW(Source!A295)</f>
        <v>295</v>
      </c>
      <c r="B374">
        <v>16809228</v>
      </c>
      <c r="C374">
        <v>16809211</v>
      </c>
      <c r="D374">
        <v>15161732</v>
      </c>
      <c r="E374">
        <v>17</v>
      </c>
      <c r="F374">
        <v>1</v>
      </c>
      <c r="G374">
        <v>1</v>
      </c>
      <c r="H374">
        <v>3</v>
      </c>
      <c r="I374" t="s">
        <v>1054</v>
      </c>
      <c r="J374" t="s">
        <v>6</v>
      </c>
      <c r="K374" t="s">
        <v>1055</v>
      </c>
      <c r="L374">
        <v>1354</v>
      </c>
      <c r="N374">
        <v>1010</v>
      </c>
      <c r="O374" t="s">
        <v>350</v>
      </c>
      <c r="P374" t="s">
        <v>350</v>
      </c>
      <c r="Q374">
        <v>1</v>
      </c>
      <c r="X374">
        <v>2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 t="s">
        <v>6</v>
      </c>
      <c r="AG374">
        <v>2</v>
      </c>
      <c r="AH374">
        <v>3</v>
      </c>
      <c r="AI374">
        <v>-1</v>
      </c>
      <c r="AJ374" t="s">
        <v>6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ROW(Source!A297)</f>
        <v>297</v>
      </c>
      <c r="B375">
        <v>16809248</v>
      </c>
      <c r="C375">
        <v>16809230</v>
      </c>
      <c r="D375">
        <v>15435763</v>
      </c>
      <c r="E375">
        <v>1</v>
      </c>
      <c r="F375">
        <v>1</v>
      </c>
      <c r="G375">
        <v>1</v>
      </c>
      <c r="H375">
        <v>1</v>
      </c>
      <c r="I375" t="s">
        <v>1029</v>
      </c>
      <c r="J375" t="s">
        <v>6</v>
      </c>
      <c r="K375" t="s">
        <v>1030</v>
      </c>
      <c r="L375">
        <v>1191</v>
      </c>
      <c r="N375">
        <v>1013</v>
      </c>
      <c r="O375" t="s">
        <v>708</v>
      </c>
      <c r="P375" t="s">
        <v>708</v>
      </c>
      <c r="Q375">
        <v>1</v>
      </c>
      <c r="X375">
        <v>2.09</v>
      </c>
      <c r="Y375">
        <v>0</v>
      </c>
      <c r="Z375">
        <v>0</v>
      </c>
      <c r="AA375">
        <v>0</v>
      </c>
      <c r="AB375">
        <v>10.35</v>
      </c>
      <c r="AC375">
        <v>0</v>
      </c>
      <c r="AD375">
        <v>1</v>
      </c>
      <c r="AE375">
        <v>1</v>
      </c>
      <c r="AF375" t="s">
        <v>443</v>
      </c>
      <c r="AG375">
        <v>2.5079999999999996</v>
      </c>
      <c r="AH375">
        <v>2</v>
      </c>
      <c r="AI375">
        <v>16809231</v>
      </c>
      <c r="AJ375">
        <v>400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ROW(Source!A297)</f>
        <v>297</v>
      </c>
      <c r="B376">
        <v>16809249</v>
      </c>
      <c r="C376">
        <v>16809230</v>
      </c>
      <c r="D376">
        <v>15249377</v>
      </c>
      <c r="E376">
        <v>1</v>
      </c>
      <c r="F376">
        <v>1</v>
      </c>
      <c r="G376">
        <v>1</v>
      </c>
      <c r="H376">
        <v>2</v>
      </c>
      <c r="I376" t="s">
        <v>952</v>
      </c>
      <c r="J376" t="s">
        <v>953</v>
      </c>
      <c r="K376" t="s">
        <v>954</v>
      </c>
      <c r="L376">
        <v>1368</v>
      </c>
      <c r="N376">
        <v>1011</v>
      </c>
      <c r="O376" t="s">
        <v>714</v>
      </c>
      <c r="P376" t="s">
        <v>714</v>
      </c>
      <c r="Q376">
        <v>1</v>
      </c>
      <c r="X376">
        <v>0.06</v>
      </c>
      <c r="Y376">
        <v>0</v>
      </c>
      <c r="Z376">
        <v>8.1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443</v>
      </c>
      <c r="AG376">
        <v>7.1999999999999995E-2</v>
      </c>
      <c r="AH376">
        <v>2</v>
      </c>
      <c r="AI376">
        <v>16809232</v>
      </c>
      <c r="AJ376">
        <v>401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ROW(Source!A297)</f>
        <v>297</v>
      </c>
      <c r="B377">
        <v>16809250</v>
      </c>
      <c r="C377">
        <v>16809230</v>
      </c>
      <c r="D377">
        <v>15250043</v>
      </c>
      <c r="E377">
        <v>1</v>
      </c>
      <c r="F377">
        <v>1</v>
      </c>
      <c r="G377">
        <v>1</v>
      </c>
      <c r="H377">
        <v>2</v>
      </c>
      <c r="I377" t="s">
        <v>1031</v>
      </c>
      <c r="J377" t="s">
        <v>1032</v>
      </c>
      <c r="K377" t="s">
        <v>1033</v>
      </c>
      <c r="L377">
        <v>1368</v>
      </c>
      <c r="N377">
        <v>1011</v>
      </c>
      <c r="O377" t="s">
        <v>714</v>
      </c>
      <c r="P377" t="s">
        <v>714</v>
      </c>
      <c r="Q377">
        <v>1</v>
      </c>
      <c r="X377">
        <v>0.09</v>
      </c>
      <c r="Y377">
        <v>0</v>
      </c>
      <c r="Z377">
        <v>1.1100000000000001</v>
      </c>
      <c r="AA377">
        <v>0</v>
      </c>
      <c r="AB377">
        <v>0</v>
      </c>
      <c r="AC377">
        <v>0</v>
      </c>
      <c r="AD377">
        <v>1</v>
      </c>
      <c r="AE377">
        <v>0</v>
      </c>
      <c r="AF377" t="s">
        <v>443</v>
      </c>
      <c r="AG377">
        <v>0.108</v>
      </c>
      <c r="AH377">
        <v>2</v>
      </c>
      <c r="AI377">
        <v>16809233</v>
      </c>
      <c r="AJ377">
        <v>402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ROW(Source!A297)</f>
        <v>297</v>
      </c>
      <c r="B378">
        <v>16809251</v>
      </c>
      <c r="C378">
        <v>16809230</v>
      </c>
      <c r="D378">
        <v>15165537</v>
      </c>
      <c r="E378">
        <v>1</v>
      </c>
      <c r="F378">
        <v>1</v>
      </c>
      <c r="G378">
        <v>1</v>
      </c>
      <c r="H378">
        <v>3</v>
      </c>
      <c r="I378" t="s">
        <v>964</v>
      </c>
      <c r="J378" t="s">
        <v>965</v>
      </c>
      <c r="K378" t="s">
        <v>966</v>
      </c>
      <c r="L378">
        <v>1346</v>
      </c>
      <c r="N378">
        <v>1009</v>
      </c>
      <c r="O378" t="s">
        <v>300</v>
      </c>
      <c r="P378" t="s">
        <v>300</v>
      </c>
      <c r="Q378">
        <v>1</v>
      </c>
      <c r="X378">
        <v>6.0000000000000001E-3</v>
      </c>
      <c r="Y378">
        <v>44.97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0</v>
      </c>
      <c r="AF378" t="s">
        <v>6</v>
      </c>
      <c r="AG378">
        <v>6.0000000000000001E-3</v>
      </c>
      <c r="AH378">
        <v>2</v>
      </c>
      <c r="AI378">
        <v>16809234</v>
      </c>
      <c r="AJ378">
        <v>403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ROW(Source!A297)</f>
        <v>297</v>
      </c>
      <c r="B379">
        <v>16809252</v>
      </c>
      <c r="C379">
        <v>16809230</v>
      </c>
      <c r="D379">
        <v>15167269</v>
      </c>
      <c r="E379">
        <v>1</v>
      </c>
      <c r="F379">
        <v>1</v>
      </c>
      <c r="G379">
        <v>1</v>
      </c>
      <c r="H379">
        <v>3</v>
      </c>
      <c r="I379" t="s">
        <v>967</v>
      </c>
      <c r="J379" t="s">
        <v>968</v>
      </c>
      <c r="K379" t="s">
        <v>969</v>
      </c>
      <c r="L379">
        <v>1346</v>
      </c>
      <c r="N379">
        <v>1009</v>
      </c>
      <c r="O379" t="s">
        <v>300</v>
      </c>
      <c r="P379" t="s">
        <v>300</v>
      </c>
      <c r="Q379">
        <v>1</v>
      </c>
      <c r="X379">
        <v>2E-3</v>
      </c>
      <c r="Y379">
        <v>11.5</v>
      </c>
      <c r="Z379">
        <v>0</v>
      </c>
      <c r="AA379">
        <v>0</v>
      </c>
      <c r="AB379">
        <v>0</v>
      </c>
      <c r="AC379">
        <v>0</v>
      </c>
      <c r="AD379">
        <v>1</v>
      </c>
      <c r="AE379">
        <v>0</v>
      </c>
      <c r="AF379" t="s">
        <v>6</v>
      </c>
      <c r="AG379">
        <v>2E-3</v>
      </c>
      <c r="AH379">
        <v>2</v>
      </c>
      <c r="AI379">
        <v>16809235</v>
      </c>
      <c r="AJ379">
        <v>404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ROW(Source!A297)</f>
        <v>297</v>
      </c>
      <c r="B380">
        <v>16809253</v>
      </c>
      <c r="C380">
        <v>16809230</v>
      </c>
      <c r="D380">
        <v>15167588</v>
      </c>
      <c r="E380">
        <v>1</v>
      </c>
      <c r="F380">
        <v>1</v>
      </c>
      <c r="G380">
        <v>1</v>
      </c>
      <c r="H380">
        <v>3</v>
      </c>
      <c r="I380" t="s">
        <v>727</v>
      </c>
      <c r="J380" t="s">
        <v>728</v>
      </c>
      <c r="K380" t="s">
        <v>729</v>
      </c>
      <c r="L380">
        <v>1346</v>
      </c>
      <c r="N380">
        <v>1009</v>
      </c>
      <c r="O380" t="s">
        <v>300</v>
      </c>
      <c r="P380" t="s">
        <v>300</v>
      </c>
      <c r="Q380">
        <v>1</v>
      </c>
      <c r="X380">
        <v>2.4E-2</v>
      </c>
      <c r="Y380">
        <v>30.4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0</v>
      </c>
      <c r="AF380" t="s">
        <v>6</v>
      </c>
      <c r="AG380">
        <v>2.4E-2</v>
      </c>
      <c r="AH380">
        <v>2</v>
      </c>
      <c r="AI380">
        <v>16809236</v>
      </c>
      <c r="AJ380">
        <v>405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ROW(Source!A297)</f>
        <v>297</v>
      </c>
      <c r="B381">
        <v>16809254</v>
      </c>
      <c r="C381">
        <v>16809230</v>
      </c>
      <c r="D381">
        <v>15168752</v>
      </c>
      <c r="E381">
        <v>1</v>
      </c>
      <c r="F381">
        <v>1</v>
      </c>
      <c r="G381">
        <v>1</v>
      </c>
      <c r="H381">
        <v>3</v>
      </c>
      <c r="I381" t="s">
        <v>955</v>
      </c>
      <c r="J381" t="s">
        <v>956</v>
      </c>
      <c r="K381" t="s">
        <v>957</v>
      </c>
      <c r="L381">
        <v>1346</v>
      </c>
      <c r="N381">
        <v>1009</v>
      </c>
      <c r="O381" t="s">
        <v>300</v>
      </c>
      <c r="P381" t="s">
        <v>300</v>
      </c>
      <c r="Q381">
        <v>1</v>
      </c>
      <c r="X381">
        <v>7.0000000000000007E-2</v>
      </c>
      <c r="Y381">
        <v>10.57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6</v>
      </c>
      <c r="AG381">
        <v>7.0000000000000007E-2</v>
      </c>
      <c r="AH381">
        <v>2</v>
      </c>
      <c r="AI381">
        <v>16809237</v>
      </c>
      <c r="AJ381">
        <v>406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ROW(Source!A297)</f>
        <v>297</v>
      </c>
      <c r="B382">
        <v>16809255</v>
      </c>
      <c r="C382">
        <v>16809230</v>
      </c>
      <c r="D382">
        <v>15169942</v>
      </c>
      <c r="E382">
        <v>1</v>
      </c>
      <c r="F382">
        <v>1</v>
      </c>
      <c r="G382">
        <v>1</v>
      </c>
      <c r="H382">
        <v>3</v>
      </c>
      <c r="I382" t="s">
        <v>730</v>
      </c>
      <c r="J382" t="s">
        <v>731</v>
      </c>
      <c r="K382" t="s">
        <v>732</v>
      </c>
      <c r="L382">
        <v>1346</v>
      </c>
      <c r="N382">
        <v>1009</v>
      </c>
      <c r="O382" t="s">
        <v>300</v>
      </c>
      <c r="P382" t="s">
        <v>300</v>
      </c>
      <c r="Q382">
        <v>1</v>
      </c>
      <c r="X382">
        <v>0.14000000000000001</v>
      </c>
      <c r="Y382">
        <v>9.0399999999999991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6</v>
      </c>
      <c r="AG382">
        <v>0.14000000000000001</v>
      </c>
      <c r="AH382">
        <v>2</v>
      </c>
      <c r="AI382">
        <v>16809238</v>
      </c>
      <c r="AJ382">
        <v>407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ROW(Source!A297)</f>
        <v>297</v>
      </c>
      <c r="B383">
        <v>16809256</v>
      </c>
      <c r="C383">
        <v>16809230</v>
      </c>
      <c r="D383">
        <v>15170074</v>
      </c>
      <c r="E383">
        <v>1</v>
      </c>
      <c r="F383">
        <v>1</v>
      </c>
      <c r="G383">
        <v>1</v>
      </c>
      <c r="H383">
        <v>3</v>
      </c>
      <c r="I383" t="s">
        <v>946</v>
      </c>
      <c r="J383" t="s">
        <v>947</v>
      </c>
      <c r="K383" t="s">
        <v>948</v>
      </c>
      <c r="L383">
        <v>1355</v>
      </c>
      <c r="N383">
        <v>1010</v>
      </c>
      <c r="O383" t="s">
        <v>326</v>
      </c>
      <c r="P383" t="s">
        <v>326</v>
      </c>
      <c r="Q383">
        <v>100</v>
      </c>
      <c r="X383">
        <v>7.0000000000000001E-3</v>
      </c>
      <c r="Y383">
        <v>86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0</v>
      </c>
      <c r="AF383" t="s">
        <v>6</v>
      </c>
      <c r="AG383">
        <v>7.0000000000000001E-3</v>
      </c>
      <c r="AH383">
        <v>2</v>
      </c>
      <c r="AI383">
        <v>16809239</v>
      </c>
      <c r="AJ383">
        <v>408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ROW(Source!A297)</f>
        <v>297</v>
      </c>
      <c r="B384">
        <v>16809257</v>
      </c>
      <c r="C384">
        <v>16809230</v>
      </c>
      <c r="D384">
        <v>15170994</v>
      </c>
      <c r="E384">
        <v>1</v>
      </c>
      <c r="F384">
        <v>1</v>
      </c>
      <c r="G384">
        <v>1</v>
      </c>
      <c r="H384">
        <v>3</v>
      </c>
      <c r="I384" t="s">
        <v>970</v>
      </c>
      <c r="J384" t="s">
        <v>971</v>
      </c>
      <c r="K384" t="s">
        <v>972</v>
      </c>
      <c r="L384">
        <v>1346</v>
      </c>
      <c r="N384">
        <v>1009</v>
      </c>
      <c r="O384" t="s">
        <v>300</v>
      </c>
      <c r="P384" t="s">
        <v>300</v>
      </c>
      <c r="Q384">
        <v>1</v>
      </c>
      <c r="X384">
        <v>2E-3</v>
      </c>
      <c r="Y384">
        <v>133.05000000000001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6</v>
      </c>
      <c r="AG384">
        <v>2E-3</v>
      </c>
      <c r="AH384">
        <v>2</v>
      </c>
      <c r="AI384">
        <v>16809240</v>
      </c>
      <c r="AJ384">
        <v>409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ROW(Source!A297)</f>
        <v>297</v>
      </c>
      <c r="B385">
        <v>16809258</v>
      </c>
      <c r="C385">
        <v>16809230</v>
      </c>
      <c r="D385">
        <v>15188647</v>
      </c>
      <c r="E385">
        <v>1</v>
      </c>
      <c r="F385">
        <v>1</v>
      </c>
      <c r="G385">
        <v>1</v>
      </c>
      <c r="H385">
        <v>3</v>
      </c>
      <c r="I385" t="s">
        <v>973</v>
      </c>
      <c r="J385" t="s">
        <v>974</v>
      </c>
      <c r="K385" t="s">
        <v>975</v>
      </c>
      <c r="L385">
        <v>1348</v>
      </c>
      <c r="N385">
        <v>1009</v>
      </c>
      <c r="O385" t="s">
        <v>104</v>
      </c>
      <c r="P385" t="s">
        <v>104</v>
      </c>
      <c r="Q385">
        <v>1000</v>
      </c>
      <c r="X385">
        <v>3.0000000000000001E-3</v>
      </c>
      <c r="Y385">
        <v>11500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 t="s">
        <v>6</v>
      </c>
      <c r="AG385">
        <v>3.0000000000000001E-3</v>
      </c>
      <c r="AH385">
        <v>2</v>
      </c>
      <c r="AI385">
        <v>16809241</v>
      </c>
      <c r="AJ385">
        <v>410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ROW(Source!A297)</f>
        <v>297</v>
      </c>
      <c r="B386">
        <v>16809259</v>
      </c>
      <c r="C386">
        <v>16809230</v>
      </c>
      <c r="D386">
        <v>15203834</v>
      </c>
      <c r="E386">
        <v>1</v>
      </c>
      <c r="F386">
        <v>1</v>
      </c>
      <c r="G386">
        <v>1</v>
      </c>
      <c r="H386">
        <v>3</v>
      </c>
      <c r="I386" t="s">
        <v>932</v>
      </c>
      <c r="J386" t="s">
        <v>933</v>
      </c>
      <c r="K386" t="s">
        <v>934</v>
      </c>
      <c r="L386">
        <v>1346</v>
      </c>
      <c r="N386">
        <v>1009</v>
      </c>
      <c r="O386" t="s">
        <v>300</v>
      </c>
      <c r="P386" t="s">
        <v>300</v>
      </c>
      <c r="Q386">
        <v>1</v>
      </c>
      <c r="X386">
        <v>1.7999999999999999E-2</v>
      </c>
      <c r="Y386">
        <v>28.6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6</v>
      </c>
      <c r="AG386">
        <v>1.7999999999999999E-2</v>
      </c>
      <c r="AH386">
        <v>2</v>
      </c>
      <c r="AI386">
        <v>16809242</v>
      </c>
      <c r="AJ386">
        <v>411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ROW(Source!A297)</f>
        <v>297</v>
      </c>
      <c r="B387">
        <v>16809260</v>
      </c>
      <c r="C387">
        <v>16809230</v>
      </c>
      <c r="D387">
        <v>15203987</v>
      </c>
      <c r="E387">
        <v>1</v>
      </c>
      <c r="F387">
        <v>1</v>
      </c>
      <c r="G387">
        <v>1</v>
      </c>
      <c r="H387">
        <v>3</v>
      </c>
      <c r="I387" t="s">
        <v>976</v>
      </c>
      <c r="J387" t="s">
        <v>977</v>
      </c>
      <c r="K387" t="s">
        <v>978</v>
      </c>
      <c r="L387">
        <v>1346</v>
      </c>
      <c r="N387">
        <v>1009</v>
      </c>
      <c r="O387" t="s">
        <v>300</v>
      </c>
      <c r="P387" t="s">
        <v>300</v>
      </c>
      <c r="Q387">
        <v>1</v>
      </c>
      <c r="X387">
        <v>8.9999999999999993E-3</v>
      </c>
      <c r="Y387">
        <v>35.630000000000003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0</v>
      </c>
      <c r="AF387" t="s">
        <v>6</v>
      </c>
      <c r="AG387">
        <v>8.9999999999999993E-3</v>
      </c>
      <c r="AH387">
        <v>2</v>
      </c>
      <c r="AI387">
        <v>16809243</v>
      </c>
      <c r="AJ387">
        <v>412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ROW(Source!A297)</f>
        <v>297</v>
      </c>
      <c r="B388">
        <v>16809261</v>
      </c>
      <c r="C388">
        <v>16809230</v>
      </c>
      <c r="D388">
        <v>15217463</v>
      </c>
      <c r="E388">
        <v>1</v>
      </c>
      <c r="F388">
        <v>1</v>
      </c>
      <c r="G388">
        <v>1</v>
      </c>
      <c r="H388">
        <v>3</v>
      </c>
      <c r="I388" t="s">
        <v>979</v>
      </c>
      <c r="J388" t="s">
        <v>980</v>
      </c>
      <c r="K388" t="s">
        <v>981</v>
      </c>
      <c r="L388">
        <v>1358</v>
      </c>
      <c r="N388">
        <v>1010</v>
      </c>
      <c r="O388" t="s">
        <v>512</v>
      </c>
      <c r="P388" t="s">
        <v>512</v>
      </c>
      <c r="Q388">
        <v>10</v>
      </c>
      <c r="X388">
        <v>0.1</v>
      </c>
      <c r="Y388">
        <v>39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6</v>
      </c>
      <c r="AG388">
        <v>0.1</v>
      </c>
      <c r="AH388">
        <v>2</v>
      </c>
      <c r="AI388">
        <v>16809244</v>
      </c>
      <c r="AJ388">
        <v>413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ROW(Source!A297)</f>
        <v>297</v>
      </c>
      <c r="B389">
        <v>16809262</v>
      </c>
      <c r="C389">
        <v>16809230</v>
      </c>
      <c r="D389">
        <v>15164559</v>
      </c>
      <c r="E389">
        <v>17</v>
      </c>
      <c r="F389">
        <v>1</v>
      </c>
      <c r="G389">
        <v>1</v>
      </c>
      <c r="H389">
        <v>3</v>
      </c>
      <c r="I389" t="s">
        <v>736</v>
      </c>
      <c r="J389" t="s">
        <v>6</v>
      </c>
      <c r="K389" t="s">
        <v>737</v>
      </c>
      <c r="L389">
        <v>1374</v>
      </c>
      <c r="N389">
        <v>1013</v>
      </c>
      <c r="O389" t="s">
        <v>738</v>
      </c>
      <c r="P389" t="s">
        <v>738</v>
      </c>
      <c r="Q389">
        <v>1</v>
      </c>
      <c r="X389">
        <v>0.43</v>
      </c>
      <c r="Y389">
        <v>1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6</v>
      </c>
      <c r="AG389">
        <v>0.43</v>
      </c>
      <c r="AH389">
        <v>2</v>
      </c>
      <c r="AI389">
        <v>16809245</v>
      </c>
      <c r="AJ389">
        <v>415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Смета 12 гр. по ФЕР</vt:lpstr>
      <vt:lpstr>Акт КС-2 c НР и СП</vt:lpstr>
      <vt:lpstr>Макет форма-3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2018-10-18T11:24:10Z</cp:lastPrinted>
  <dcterms:created xsi:type="dcterms:W3CDTF">2018-10-17T10:55:02Z</dcterms:created>
  <dcterms:modified xsi:type="dcterms:W3CDTF">2018-10-18T11:24:26Z</dcterms:modified>
</cp:coreProperties>
</file>