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ФЕР'!$22:$22</definedName>
    <definedName name="_xlnm.Print_Area" localSheetId="1">'Акт КС-2 c НР и СП'!$A$1:$H$138</definedName>
    <definedName name="_xlnm.Print_Area" localSheetId="0">'Смета 12 гр. по ФЕР'!$A$1:$L$97</definedName>
  </definedNames>
  <calcPr calcId="145621"/>
</workbook>
</file>

<file path=xl/calcChain.xml><?xml version="1.0" encoding="utf-8"?>
<calcChain xmlns="http://schemas.openxmlformats.org/spreadsheetml/2006/main">
  <c r="G133" i="6" l="1"/>
  <c r="G128" i="6"/>
  <c r="C133" i="6"/>
  <c r="C128" i="6"/>
  <c r="C125" i="6"/>
  <c r="C124" i="6"/>
  <c r="C123" i="6"/>
  <c r="C119" i="6"/>
  <c r="C118" i="6"/>
  <c r="C117" i="6"/>
  <c r="D112" i="6"/>
  <c r="F111" i="6"/>
  <c r="E111" i="6"/>
  <c r="C111" i="6"/>
  <c r="D111" i="6"/>
  <c r="B111" i="6"/>
  <c r="D110" i="6"/>
  <c r="F109" i="6"/>
  <c r="E109" i="6"/>
  <c r="C109" i="6"/>
  <c r="D109" i="6"/>
  <c r="B109" i="6"/>
  <c r="D108" i="6"/>
  <c r="E107" i="6"/>
  <c r="C107" i="6"/>
  <c r="D107" i="6"/>
  <c r="B107" i="6"/>
  <c r="D106" i="6"/>
  <c r="E105" i="6"/>
  <c r="C105" i="6"/>
  <c r="D105" i="6"/>
  <c r="B105" i="6"/>
  <c r="D104" i="6"/>
  <c r="E103" i="6"/>
  <c r="C103" i="6"/>
  <c r="D103" i="6"/>
  <c r="B103" i="6"/>
  <c r="D102" i="6"/>
  <c r="E101" i="6"/>
  <c r="C101" i="6"/>
  <c r="D101" i="6"/>
  <c r="B101" i="6"/>
  <c r="D100" i="6"/>
  <c r="E99" i="6"/>
  <c r="C99" i="6"/>
  <c r="D99" i="6"/>
  <c r="B99" i="6"/>
  <c r="D98" i="6"/>
  <c r="E97" i="6"/>
  <c r="C97" i="6"/>
  <c r="D97" i="6"/>
  <c r="B97" i="6"/>
  <c r="H95" i="6"/>
  <c r="G95" i="6"/>
  <c r="F94" i="6"/>
  <c r="H93" i="6"/>
  <c r="G93" i="6"/>
  <c r="F92" i="6"/>
  <c r="D91" i="6"/>
  <c r="D90" i="6"/>
  <c r="D89" i="6"/>
  <c r="D88" i="6"/>
  <c r="E86" i="6"/>
  <c r="C86" i="6"/>
  <c r="D86" i="6"/>
  <c r="B86" i="6"/>
  <c r="D85" i="6"/>
  <c r="E84" i="6"/>
  <c r="D84" i="6"/>
  <c r="B84" i="6"/>
  <c r="F82" i="6"/>
  <c r="F81" i="6"/>
  <c r="D80" i="6"/>
  <c r="D79" i="6"/>
  <c r="D78" i="6"/>
  <c r="D77" i="6"/>
  <c r="E75" i="6"/>
  <c r="C75" i="6"/>
  <c r="D75" i="6"/>
  <c r="B75" i="6"/>
  <c r="D74" i="6"/>
  <c r="E73" i="6"/>
  <c r="D73" i="6"/>
  <c r="B73" i="6"/>
  <c r="H71" i="6"/>
  <c r="G71" i="6"/>
  <c r="F70" i="6"/>
  <c r="H69" i="6"/>
  <c r="G69" i="6"/>
  <c r="F68" i="6"/>
  <c r="D67" i="6"/>
  <c r="D66" i="6"/>
  <c r="D65" i="6"/>
  <c r="D64" i="6"/>
  <c r="E62" i="6"/>
  <c r="C62" i="6"/>
  <c r="D62" i="6"/>
  <c r="B62" i="6"/>
  <c r="D61" i="6"/>
  <c r="E60" i="6"/>
  <c r="D60" i="6"/>
  <c r="B60" i="6"/>
  <c r="H58" i="6"/>
  <c r="G58" i="6"/>
  <c r="F57" i="6"/>
  <c r="H56" i="6"/>
  <c r="G56" i="6"/>
  <c r="F55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1" i="5"/>
  <c r="I95" i="5"/>
  <c r="I92" i="5"/>
  <c r="D95" i="5"/>
  <c r="D92" i="5"/>
  <c r="C90" i="5"/>
  <c r="C89" i="5"/>
  <c r="Z86" i="5"/>
  <c r="Y86" i="5"/>
  <c r="X86" i="5"/>
  <c r="J85" i="5"/>
  <c r="G85" i="5"/>
  <c r="F85" i="5"/>
  <c r="U85" i="5"/>
  <c r="S85" i="5"/>
  <c r="E85" i="5"/>
  <c r="D85" i="5"/>
  <c r="I85" i="5"/>
  <c r="C85" i="5"/>
  <c r="B85" i="5"/>
  <c r="A85" i="5"/>
  <c r="Z84" i="5"/>
  <c r="Y84" i="5"/>
  <c r="X84" i="5"/>
  <c r="J83" i="5"/>
  <c r="G83" i="5"/>
  <c r="F83" i="5"/>
  <c r="U83" i="5"/>
  <c r="S83" i="5"/>
  <c r="E83" i="5"/>
  <c r="D83" i="5"/>
  <c r="I83" i="5"/>
  <c r="C83" i="5"/>
  <c r="B83" i="5"/>
  <c r="A83" i="5"/>
  <c r="Z82" i="5"/>
  <c r="Y82" i="5"/>
  <c r="X82" i="5"/>
  <c r="J81" i="5"/>
  <c r="Z81" i="5"/>
  <c r="Y81" i="5"/>
  <c r="X81" i="5"/>
  <c r="F81" i="5"/>
  <c r="D81" i="5"/>
  <c r="C81" i="5"/>
  <c r="B81" i="5"/>
  <c r="A81" i="5"/>
  <c r="J80" i="5"/>
  <c r="Z80" i="5"/>
  <c r="Y80" i="5"/>
  <c r="X80" i="5"/>
  <c r="F80" i="5"/>
  <c r="D80" i="5"/>
  <c r="C80" i="5"/>
  <c r="B80" i="5"/>
  <c r="A80" i="5"/>
  <c r="J79" i="5"/>
  <c r="Z79" i="5"/>
  <c r="Y79" i="5"/>
  <c r="X79" i="5"/>
  <c r="F79" i="5"/>
  <c r="D79" i="5"/>
  <c r="C79" i="5"/>
  <c r="B79" i="5"/>
  <c r="A79" i="5"/>
  <c r="J78" i="5"/>
  <c r="Z78" i="5"/>
  <c r="Y78" i="5"/>
  <c r="X78" i="5"/>
  <c r="F78" i="5"/>
  <c r="D78" i="5"/>
  <c r="C78" i="5"/>
  <c r="B78" i="5"/>
  <c r="A78" i="5"/>
  <c r="J77" i="5"/>
  <c r="Z77" i="5"/>
  <c r="Y77" i="5"/>
  <c r="X77" i="5"/>
  <c r="F77" i="5"/>
  <c r="D77" i="5"/>
  <c r="C77" i="5"/>
  <c r="B77" i="5"/>
  <c r="A77" i="5"/>
  <c r="J76" i="5"/>
  <c r="Z76" i="5"/>
  <c r="Y76" i="5"/>
  <c r="X76" i="5"/>
  <c r="F76" i="5"/>
  <c r="D76" i="5"/>
  <c r="C76" i="5"/>
  <c r="B76" i="5"/>
  <c r="A76" i="5"/>
  <c r="G75" i="5"/>
  <c r="E75" i="5"/>
  <c r="J74" i="5"/>
  <c r="F74" i="5"/>
  <c r="E74" i="5"/>
  <c r="J73" i="5"/>
  <c r="F73" i="5"/>
  <c r="E73" i="5"/>
  <c r="J72" i="5"/>
  <c r="G72" i="5"/>
  <c r="F72" i="5"/>
  <c r="J71" i="5"/>
  <c r="G71" i="5"/>
  <c r="F71" i="5"/>
  <c r="J70" i="5"/>
  <c r="G70" i="5"/>
  <c r="F70" i="5"/>
  <c r="J69" i="5"/>
  <c r="G69" i="5"/>
  <c r="F69" i="5"/>
  <c r="F67" i="5"/>
  <c r="D67" i="5"/>
  <c r="I67" i="5"/>
  <c r="C67" i="5"/>
  <c r="B67" i="5"/>
  <c r="A67" i="5"/>
  <c r="Z66" i="5"/>
  <c r="Y66" i="5"/>
  <c r="X66" i="5"/>
  <c r="J65" i="5"/>
  <c r="Z65" i="5"/>
  <c r="Y65" i="5"/>
  <c r="X65" i="5"/>
  <c r="F65" i="5"/>
  <c r="D65" i="5"/>
  <c r="B65" i="5"/>
  <c r="A65" i="5"/>
  <c r="G64" i="5"/>
  <c r="E64" i="5"/>
  <c r="J63" i="5"/>
  <c r="E63" i="5"/>
  <c r="J62" i="5"/>
  <c r="E62" i="5"/>
  <c r="J61" i="5"/>
  <c r="G61" i="5"/>
  <c r="F61" i="5"/>
  <c r="J60" i="5"/>
  <c r="G60" i="5"/>
  <c r="F60" i="5"/>
  <c r="J59" i="5"/>
  <c r="G59" i="5"/>
  <c r="F59" i="5"/>
  <c r="J58" i="5"/>
  <c r="G58" i="5"/>
  <c r="F58" i="5"/>
  <c r="F56" i="5"/>
  <c r="D56" i="5"/>
  <c r="I56" i="5"/>
  <c r="C56" i="5"/>
  <c r="B56" i="5"/>
  <c r="A56" i="5"/>
  <c r="Z55" i="5"/>
  <c r="Y55" i="5"/>
  <c r="X55" i="5"/>
  <c r="J54" i="5"/>
  <c r="Z54" i="5"/>
  <c r="Y54" i="5"/>
  <c r="X54" i="5"/>
  <c r="F54" i="5"/>
  <c r="D54" i="5"/>
  <c r="B54" i="5"/>
  <c r="A54" i="5"/>
  <c r="G53" i="5"/>
  <c r="E53" i="5"/>
  <c r="J52" i="5"/>
  <c r="F52" i="5"/>
  <c r="E52" i="5"/>
  <c r="J51" i="5"/>
  <c r="F51" i="5"/>
  <c r="E51" i="5"/>
  <c r="J50" i="5"/>
  <c r="G50" i="5"/>
  <c r="F50" i="5"/>
  <c r="J49" i="5"/>
  <c r="G49" i="5"/>
  <c r="F49" i="5"/>
  <c r="J48" i="5"/>
  <c r="G48" i="5"/>
  <c r="F48" i="5"/>
  <c r="J47" i="5"/>
  <c r="G47" i="5"/>
  <c r="F47" i="5"/>
  <c r="F45" i="5"/>
  <c r="D45" i="5"/>
  <c r="I45" i="5"/>
  <c r="C45" i="5"/>
  <c r="B45" i="5"/>
  <c r="A45" i="5"/>
  <c r="Z44" i="5"/>
  <c r="Y44" i="5"/>
  <c r="X44" i="5"/>
  <c r="J43" i="5"/>
  <c r="Z43" i="5"/>
  <c r="Y43" i="5"/>
  <c r="X43" i="5"/>
  <c r="F43" i="5"/>
  <c r="D43" i="5"/>
  <c r="B43" i="5"/>
  <c r="A43" i="5"/>
  <c r="G42" i="5"/>
  <c r="E42" i="5"/>
  <c r="J41" i="5"/>
  <c r="F41" i="5"/>
  <c r="E41" i="5"/>
  <c r="J40" i="5"/>
  <c r="F40" i="5"/>
  <c r="E40" i="5"/>
  <c r="J39" i="5"/>
  <c r="G39" i="5"/>
  <c r="F39" i="5"/>
  <c r="J38" i="5"/>
  <c r="G38" i="5"/>
  <c r="F38" i="5"/>
  <c r="J37" i="5"/>
  <c r="G37" i="5"/>
  <c r="F37" i="5"/>
  <c r="J36" i="5"/>
  <c r="G36" i="5"/>
  <c r="F36" i="5"/>
  <c r="F34" i="5"/>
  <c r="D34" i="5"/>
  <c r="I34" i="5"/>
  <c r="C34" i="5"/>
  <c r="B34" i="5"/>
  <c r="A34" i="5"/>
  <c r="Z33" i="5"/>
  <c r="Y33" i="5"/>
  <c r="X33" i="5"/>
  <c r="G32" i="5"/>
  <c r="E32" i="5"/>
  <c r="J31" i="5"/>
  <c r="F31" i="5"/>
  <c r="E31" i="5"/>
  <c r="J30" i="5"/>
  <c r="F30" i="5"/>
  <c r="E30" i="5"/>
  <c r="J29" i="5"/>
  <c r="G29" i="5"/>
  <c r="F29" i="5"/>
  <c r="J28" i="5"/>
  <c r="G28" i="5"/>
  <c r="F28" i="5"/>
  <c r="J27" i="5"/>
  <c r="G27" i="5"/>
  <c r="F27" i="5"/>
  <c r="F25" i="5"/>
  <c r="D25" i="5"/>
  <c r="I25" i="5"/>
  <c r="C25" i="5"/>
  <c r="B25" i="5"/>
  <c r="A25" i="5"/>
  <c r="A24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Y61" i="3"/>
  <c r="CZ61" i="3"/>
  <c r="DA61" i="3"/>
  <c r="A62" i="3"/>
  <c r="CY62" i="3"/>
  <c r="CZ62" i="3"/>
  <c r="DA62" i="3"/>
  <c r="A63" i="3"/>
  <c r="CY63" i="3"/>
  <c r="CZ63" i="3"/>
  <c r="DA63" i="3"/>
  <c r="A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CX2" i="3" s="1"/>
  <c r="AC24" i="1"/>
  <c r="AE24" i="1"/>
  <c r="AD24" i="1" s="1"/>
  <c r="CR24" i="1" s="1"/>
  <c r="Q24" i="1" s="1"/>
  <c r="AF24" i="1"/>
  <c r="AG24" i="1"/>
  <c r="AH24" i="1"/>
  <c r="CV24" i="1" s="1"/>
  <c r="AI24" i="1"/>
  <c r="CW24" i="1" s="1"/>
  <c r="V24" i="1" s="1"/>
  <c r="AJ24" i="1"/>
  <c r="CX24" i="1" s="1"/>
  <c r="W24" i="1" s="1"/>
  <c r="CQ24" i="1"/>
  <c r="CT24" i="1"/>
  <c r="S24" i="1" s="1"/>
  <c r="CU24" i="1"/>
  <c r="T24" i="1" s="1"/>
  <c r="FR24" i="1"/>
  <c r="GL24" i="1"/>
  <c r="GO24" i="1"/>
  <c r="GP24" i="1"/>
  <c r="GV24" i="1"/>
  <c r="GX24" i="1" s="1"/>
  <c r="C25" i="1"/>
  <c r="D25" i="1"/>
  <c r="I25" i="1"/>
  <c r="AC25" i="1"/>
  <c r="AE25" i="1"/>
  <c r="AF25" i="1"/>
  <c r="AG25" i="1"/>
  <c r="CU25" i="1" s="1"/>
  <c r="T25" i="1" s="1"/>
  <c r="AH25" i="1"/>
  <c r="CV25" i="1" s="1"/>
  <c r="U25" i="1" s="1"/>
  <c r="AI25" i="1"/>
  <c r="CW25" i="1" s="1"/>
  <c r="AJ25" i="1"/>
  <c r="CQ25" i="1"/>
  <c r="P25" i="1" s="1"/>
  <c r="U38" i="6" s="1"/>
  <c r="CT25" i="1"/>
  <c r="CX25" i="1"/>
  <c r="W25" i="1" s="1"/>
  <c r="FR25" i="1"/>
  <c r="GL25" i="1"/>
  <c r="GO25" i="1"/>
  <c r="GP25" i="1"/>
  <c r="FV57" i="1" s="1"/>
  <c r="GV25" i="1"/>
  <c r="GX25" i="1" s="1"/>
  <c r="C26" i="1"/>
  <c r="D26" i="1"/>
  <c r="I26" i="1"/>
  <c r="CX10" i="3" s="1"/>
  <c r="AC26" i="1"/>
  <c r="CQ26" i="1" s="1"/>
  <c r="AE26" i="1"/>
  <c r="AD26" i="1" s="1"/>
  <c r="CR26" i="1" s="1"/>
  <c r="AF26" i="1"/>
  <c r="CT26" i="1" s="1"/>
  <c r="S26" i="1" s="1"/>
  <c r="AG26" i="1"/>
  <c r="CU26" i="1" s="1"/>
  <c r="T26" i="1" s="1"/>
  <c r="AH26" i="1"/>
  <c r="AI26" i="1"/>
  <c r="AJ26" i="1"/>
  <c r="CX26" i="1" s="1"/>
  <c r="W26" i="1" s="1"/>
  <c r="CS26" i="1"/>
  <c r="CV26" i="1"/>
  <c r="U26" i="1" s="1"/>
  <c r="CW26" i="1"/>
  <c r="V26" i="1" s="1"/>
  <c r="FR26" i="1"/>
  <c r="GL26" i="1"/>
  <c r="GO26" i="1"/>
  <c r="GP26" i="1"/>
  <c r="GV26" i="1"/>
  <c r="GX26" i="1"/>
  <c r="C27" i="1"/>
  <c r="D27" i="1"/>
  <c r="I27" i="1"/>
  <c r="AC27" i="1"/>
  <c r="AE27" i="1"/>
  <c r="H38" i="5" s="1"/>
  <c r="R38" i="5" s="1"/>
  <c r="AF27" i="1"/>
  <c r="AG27" i="1"/>
  <c r="AH27" i="1"/>
  <c r="CV27" i="1" s="1"/>
  <c r="U27" i="1" s="1"/>
  <c r="AI27" i="1"/>
  <c r="CW27" i="1" s="1"/>
  <c r="V27" i="1" s="1"/>
  <c r="Z49" i="6" s="1"/>
  <c r="AJ27" i="1"/>
  <c r="CX27" i="1" s="1"/>
  <c r="W27" i="1" s="1"/>
  <c r="CU27" i="1"/>
  <c r="T27" i="1" s="1"/>
  <c r="FR27" i="1"/>
  <c r="GL27" i="1"/>
  <c r="FR57" i="1" s="1"/>
  <c r="GO27" i="1"/>
  <c r="GP27" i="1"/>
  <c r="GV27" i="1"/>
  <c r="GX27" i="1"/>
  <c r="I28" i="1"/>
  <c r="AC28" i="1"/>
  <c r="AD28" i="1"/>
  <c r="AE28" i="1"/>
  <c r="AF28" i="1"/>
  <c r="CT28" i="1" s="1"/>
  <c r="AG28" i="1"/>
  <c r="CU28" i="1" s="1"/>
  <c r="T28" i="1" s="1"/>
  <c r="AH28" i="1"/>
  <c r="CV28" i="1" s="1"/>
  <c r="U28" i="1" s="1"/>
  <c r="AI28" i="1"/>
  <c r="AJ28" i="1"/>
  <c r="CX28" i="1" s="1"/>
  <c r="CQ28" i="1"/>
  <c r="CR28" i="1"/>
  <c r="Q28" i="1" s="1"/>
  <c r="CS28" i="1"/>
  <c r="R28" i="1" s="1"/>
  <c r="GK28" i="1" s="1"/>
  <c r="CW28" i="1"/>
  <c r="V28" i="1" s="1"/>
  <c r="FR28" i="1"/>
  <c r="GL28" i="1"/>
  <c r="GO28" i="1"/>
  <c r="GP28" i="1"/>
  <c r="CD57" i="1" s="1"/>
  <c r="GV28" i="1"/>
  <c r="GX28" i="1" s="1"/>
  <c r="I29" i="1"/>
  <c r="AC29" i="1"/>
  <c r="AE29" i="1"/>
  <c r="CS29" i="1" s="1"/>
  <c r="R29" i="1" s="1"/>
  <c r="X60" i="6" s="1"/>
  <c r="AF29" i="1"/>
  <c r="AG29" i="1"/>
  <c r="CU29" i="1" s="1"/>
  <c r="T29" i="1" s="1"/>
  <c r="AH29" i="1"/>
  <c r="AI29" i="1"/>
  <c r="CW29" i="1" s="1"/>
  <c r="V29" i="1" s="1"/>
  <c r="Z60" i="6" s="1"/>
  <c r="AJ29" i="1"/>
  <c r="CV29" i="1"/>
  <c r="U29" i="1" s="1"/>
  <c r="Y60" i="6" s="1"/>
  <c r="CX29" i="1"/>
  <c r="W29" i="1" s="1"/>
  <c r="FR29" i="1"/>
  <c r="GL29" i="1"/>
  <c r="GO29" i="1"/>
  <c r="GP29" i="1"/>
  <c r="GV29" i="1"/>
  <c r="GX29" i="1" s="1"/>
  <c r="C30" i="1"/>
  <c r="D30" i="1"/>
  <c r="I30" i="1"/>
  <c r="Q30" i="1"/>
  <c r="R30" i="1"/>
  <c r="GK30" i="1" s="1"/>
  <c r="AC30" i="1"/>
  <c r="CQ30" i="1" s="1"/>
  <c r="P30" i="1" s="1"/>
  <c r="AD30" i="1"/>
  <c r="AE30" i="1"/>
  <c r="AF30" i="1"/>
  <c r="CT30" i="1" s="1"/>
  <c r="S30" i="1" s="1"/>
  <c r="AG30" i="1"/>
  <c r="CU30" i="1" s="1"/>
  <c r="T30" i="1" s="1"/>
  <c r="AH30" i="1"/>
  <c r="AI30" i="1"/>
  <c r="AJ30" i="1"/>
  <c r="CX30" i="1" s="1"/>
  <c r="W30" i="1" s="1"/>
  <c r="CR30" i="1"/>
  <c r="CS30" i="1"/>
  <c r="CV30" i="1"/>
  <c r="U30" i="1" s="1"/>
  <c r="CW30" i="1"/>
  <c r="V30" i="1" s="1"/>
  <c r="FR30" i="1"/>
  <c r="GL30" i="1"/>
  <c r="GO30" i="1"/>
  <c r="GP30" i="1"/>
  <c r="GV30" i="1"/>
  <c r="GX30" i="1"/>
  <c r="C31" i="1"/>
  <c r="D31" i="1"/>
  <c r="I31" i="1"/>
  <c r="AC31" i="1"/>
  <c r="AE31" i="1"/>
  <c r="AF31" i="1"/>
  <c r="AG31" i="1"/>
  <c r="CU31" i="1" s="1"/>
  <c r="T31" i="1" s="1"/>
  <c r="AH31" i="1"/>
  <c r="CV31" i="1" s="1"/>
  <c r="U31" i="1" s="1"/>
  <c r="AI31" i="1"/>
  <c r="AJ31" i="1"/>
  <c r="CS31" i="1"/>
  <c r="R31" i="1" s="1"/>
  <c r="CW31" i="1"/>
  <c r="V31" i="1" s="1"/>
  <c r="Z62" i="6" s="1"/>
  <c r="CX31" i="1"/>
  <c r="W31" i="1" s="1"/>
  <c r="FR31" i="1"/>
  <c r="GL31" i="1"/>
  <c r="GO31" i="1"/>
  <c r="GP31" i="1"/>
  <c r="GV31" i="1"/>
  <c r="GX31" i="1"/>
  <c r="I32" i="1"/>
  <c r="P32" i="1" s="1"/>
  <c r="AC32" i="1"/>
  <c r="AD32" i="1"/>
  <c r="AB32" i="1" s="1"/>
  <c r="AE32" i="1"/>
  <c r="AF32" i="1"/>
  <c r="CT32" i="1" s="1"/>
  <c r="AG32" i="1"/>
  <c r="CU32" i="1" s="1"/>
  <c r="T32" i="1" s="1"/>
  <c r="AH32" i="1"/>
  <c r="CV32" i="1" s="1"/>
  <c r="U32" i="1" s="1"/>
  <c r="AI32" i="1"/>
  <c r="CW32" i="1" s="1"/>
  <c r="V32" i="1" s="1"/>
  <c r="AJ32" i="1"/>
  <c r="CX32" i="1" s="1"/>
  <c r="CQ32" i="1"/>
  <c r="CR32" i="1"/>
  <c r="Q32" i="1" s="1"/>
  <c r="CS32" i="1"/>
  <c r="R32" i="1" s="1"/>
  <c r="GK32" i="1" s="1"/>
  <c r="FR32" i="1"/>
  <c r="GL32" i="1"/>
  <c r="GO32" i="1"/>
  <c r="GP32" i="1"/>
  <c r="GV32" i="1"/>
  <c r="GX32" i="1" s="1"/>
  <c r="AC33" i="1"/>
  <c r="AE33" i="1"/>
  <c r="CS33" i="1" s="1"/>
  <c r="AF33" i="1"/>
  <c r="AG33" i="1"/>
  <c r="CU33" i="1" s="1"/>
  <c r="AH33" i="1"/>
  <c r="AI33" i="1"/>
  <c r="CW33" i="1" s="1"/>
  <c r="AJ33" i="1"/>
  <c r="CV33" i="1"/>
  <c r="CX33" i="1"/>
  <c r="FR33" i="1"/>
  <c r="GL33" i="1"/>
  <c r="GO33" i="1"/>
  <c r="GP33" i="1"/>
  <c r="GV33" i="1"/>
  <c r="C34" i="1"/>
  <c r="D34" i="1"/>
  <c r="I34" i="1"/>
  <c r="I36" i="1" s="1"/>
  <c r="AC34" i="1"/>
  <c r="AE34" i="1"/>
  <c r="AD34" i="1" s="1"/>
  <c r="AF34" i="1"/>
  <c r="CT34" i="1" s="1"/>
  <c r="AG34" i="1"/>
  <c r="AH34" i="1"/>
  <c r="AI34" i="1"/>
  <c r="CW34" i="1" s="1"/>
  <c r="V34" i="1" s="1"/>
  <c r="AJ34" i="1"/>
  <c r="CX34" i="1" s="1"/>
  <c r="CQ34" i="1"/>
  <c r="CS34" i="1"/>
  <c r="R34" i="1" s="1"/>
  <c r="GK34" i="1" s="1"/>
  <c r="CU34" i="1"/>
  <c r="T34" i="1" s="1"/>
  <c r="CV34" i="1"/>
  <c r="FR34" i="1"/>
  <c r="GL34" i="1"/>
  <c r="GO34" i="1"/>
  <c r="GP34" i="1"/>
  <c r="GV34" i="1"/>
  <c r="C35" i="1"/>
  <c r="D35" i="1"/>
  <c r="I35" i="1"/>
  <c r="AC35" i="1"/>
  <c r="AE35" i="1"/>
  <c r="AF35" i="1"/>
  <c r="AG35" i="1"/>
  <c r="CU35" i="1" s="1"/>
  <c r="AH35" i="1"/>
  <c r="AI35" i="1"/>
  <c r="CW35" i="1" s="1"/>
  <c r="V35" i="1" s="1"/>
  <c r="Z75" i="6" s="1"/>
  <c r="AJ35" i="1"/>
  <c r="CX35" i="1" s="1"/>
  <c r="W35" i="1" s="1"/>
  <c r="CT35" i="1"/>
  <c r="S35" i="1" s="1"/>
  <c r="CV35" i="1"/>
  <c r="U35" i="1" s="1"/>
  <c r="FR35" i="1"/>
  <c r="GL35" i="1"/>
  <c r="GO35" i="1"/>
  <c r="GP35" i="1"/>
  <c r="GV35" i="1"/>
  <c r="GX35" i="1" s="1"/>
  <c r="AC36" i="1"/>
  <c r="CQ36" i="1" s="1"/>
  <c r="AE36" i="1"/>
  <c r="AD36" i="1" s="1"/>
  <c r="AF36" i="1"/>
  <c r="CT36" i="1" s="1"/>
  <c r="AG36" i="1"/>
  <c r="AH36" i="1"/>
  <c r="AI36" i="1"/>
  <c r="CW36" i="1" s="1"/>
  <c r="AJ36" i="1"/>
  <c r="CX36" i="1" s="1"/>
  <c r="CU36" i="1"/>
  <c r="CV36" i="1"/>
  <c r="FR36" i="1"/>
  <c r="GL36" i="1"/>
  <c r="GO36" i="1"/>
  <c r="CC57" i="1" s="1"/>
  <c r="CC22" i="1" s="1"/>
  <c r="GP36" i="1"/>
  <c r="GV36" i="1"/>
  <c r="AC37" i="1"/>
  <c r="AD37" i="1"/>
  <c r="CR37" i="1" s="1"/>
  <c r="AE37" i="1"/>
  <c r="CS37" i="1" s="1"/>
  <c r="AF37" i="1"/>
  <c r="AG37" i="1"/>
  <c r="AH37" i="1"/>
  <c r="CV37" i="1" s="1"/>
  <c r="AI37" i="1"/>
  <c r="CW37" i="1" s="1"/>
  <c r="AJ37" i="1"/>
  <c r="CQ37" i="1"/>
  <c r="CT37" i="1"/>
  <c r="CU37" i="1"/>
  <c r="CX37" i="1"/>
  <c r="FR37" i="1"/>
  <c r="GL37" i="1"/>
  <c r="GO37" i="1"/>
  <c r="GP37" i="1"/>
  <c r="GV37" i="1"/>
  <c r="C38" i="1"/>
  <c r="D38" i="1"/>
  <c r="I38" i="1"/>
  <c r="AC38" i="1"/>
  <c r="AE38" i="1"/>
  <c r="AD38" i="1" s="1"/>
  <c r="AF38" i="1"/>
  <c r="CT38" i="1" s="1"/>
  <c r="AG38" i="1"/>
  <c r="AH38" i="1"/>
  <c r="CV38" i="1" s="1"/>
  <c r="U38" i="1" s="1"/>
  <c r="AI38" i="1"/>
  <c r="AJ38" i="1"/>
  <c r="CX38" i="1" s="1"/>
  <c r="CQ38" i="1"/>
  <c r="CS38" i="1"/>
  <c r="R38" i="1" s="1"/>
  <c r="GK38" i="1" s="1"/>
  <c r="CU38" i="1"/>
  <c r="T38" i="1" s="1"/>
  <c r="CW38" i="1"/>
  <c r="V38" i="1" s="1"/>
  <c r="FR38" i="1"/>
  <c r="GL38" i="1"/>
  <c r="GO38" i="1"/>
  <c r="GP38" i="1"/>
  <c r="GV38" i="1"/>
  <c r="GX38" i="1" s="1"/>
  <c r="C39" i="1"/>
  <c r="D39" i="1"/>
  <c r="I39" i="1"/>
  <c r="AC39" i="1"/>
  <c r="AE39" i="1"/>
  <c r="H71" i="5" s="1"/>
  <c r="R71" i="5" s="1"/>
  <c r="AF39" i="1"/>
  <c r="AG39" i="1"/>
  <c r="CU39" i="1" s="1"/>
  <c r="AH39" i="1"/>
  <c r="CV39" i="1" s="1"/>
  <c r="U39" i="1" s="1"/>
  <c r="AI39" i="1"/>
  <c r="CW39" i="1" s="1"/>
  <c r="V39" i="1" s="1"/>
  <c r="Z86" i="6" s="1"/>
  <c r="AJ39" i="1"/>
  <c r="CX39" i="1" s="1"/>
  <c r="W39" i="1" s="1"/>
  <c r="FR39" i="1"/>
  <c r="GL39" i="1"/>
  <c r="GO39" i="1"/>
  <c r="GP39" i="1"/>
  <c r="GV39" i="1"/>
  <c r="GX39" i="1" s="1"/>
  <c r="AC40" i="1"/>
  <c r="CQ40" i="1" s="1"/>
  <c r="AE40" i="1"/>
  <c r="CS40" i="1" s="1"/>
  <c r="AF40" i="1"/>
  <c r="CT40" i="1" s="1"/>
  <c r="AG40" i="1"/>
  <c r="AH40" i="1"/>
  <c r="CV40" i="1" s="1"/>
  <c r="AI40" i="1"/>
  <c r="CW40" i="1" s="1"/>
  <c r="AJ40" i="1"/>
  <c r="CX40" i="1" s="1"/>
  <c r="CU40" i="1"/>
  <c r="FR40" i="1"/>
  <c r="GL40" i="1"/>
  <c r="GO40" i="1"/>
  <c r="GP40" i="1"/>
  <c r="GV40" i="1"/>
  <c r="AC41" i="1"/>
  <c r="AD41" i="1"/>
  <c r="CR41" i="1" s="1"/>
  <c r="AE41" i="1"/>
  <c r="CS41" i="1" s="1"/>
  <c r="AF41" i="1"/>
  <c r="AG41" i="1"/>
  <c r="CU41" i="1" s="1"/>
  <c r="AH41" i="1"/>
  <c r="CV41" i="1" s="1"/>
  <c r="AI41" i="1"/>
  <c r="CW41" i="1" s="1"/>
  <c r="AJ41" i="1"/>
  <c r="CT41" i="1"/>
  <c r="CX41" i="1"/>
  <c r="FR41" i="1"/>
  <c r="GL41" i="1"/>
  <c r="GO41" i="1"/>
  <c r="GP41" i="1"/>
  <c r="GV41" i="1"/>
  <c r="I42" i="1"/>
  <c r="AC42" i="1"/>
  <c r="CQ42" i="1" s="1"/>
  <c r="AE42" i="1"/>
  <c r="AD42" i="1" s="1"/>
  <c r="CR42" i="1" s="1"/>
  <c r="Q42" i="1" s="1"/>
  <c r="AF42" i="1"/>
  <c r="CT42" i="1" s="1"/>
  <c r="S42" i="1" s="1"/>
  <c r="AG42" i="1"/>
  <c r="CU42" i="1" s="1"/>
  <c r="AH42" i="1"/>
  <c r="CV42" i="1" s="1"/>
  <c r="AI42" i="1"/>
  <c r="CW42" i="1" s="1"/>
  <c r="V42" i="1" s="1"/>
  <c r="AJ42" i="1"/>
  <c r="CX42" i="1" s="1"/>
  <c r="W42" i="1" s="1"/>
  <c r="FR42" i="1"/>
  <c r="GL42" i="1"/>
  <c r="GO42" i="1"/>
  <c r="GP42" i="1"/>
  <c r="GV42" i="1"/>
  <c r="GX42" i="1" s="1"/>
  <c r="I43" i="1"/>
  <c r="AC43" i="1"/>
  <c r="AE43" i="1"/>
  <c r="AD43" i="1" s="1"/>
  <c r="AB43" i="1" s="1"/>
  <c r="G99" i="6" s="1"/>
  <c r="AF43" i="1"/>
  <c r="AG43" i="1"/>
  <c r="CU43" i="1" s="1"/>
  <c r="AH43" i="1"/>
  <c r="CV43" i="1" s="1"/>
  <c r="U43" i="1" s="1"/>
  <c r="Y99" i="6" s="1"/>
  <c r="AI43" i="1"/>
  <c r="CW43" i="1" s="1"/>
  <c r="V43" i="1" s="1"/>
  <c r="Z99" i="6" s="1"/>
  <c r="AJ43" i="1"/>
  <c r="CX43" i="1"/>
  <c r="FR43" i="1"/>
  <c r="GL43" i="1"/>
  <c r="GO43" i="1"/>
  <c r="GP43" i="1"/>
  <c r="GV43" i="1"/>
  <c r="GX43" i="1" s="1"/>
  <c r="I44" i="1"/>
  <c r="R44" i="1"/>
  <c r="GK44" i="1" s="1"/>
  <c r="AC44" i="1"/>
  <c r="AD44" i="1"/>
  <c r="AE44" i="1"/>
  <c r="AF44" i="1"/>
  <c r="CT44" i="1" s="1"/>
  <c r="S44" i="1" s="1"/>
  <c r="CY44" i="1" s="1"/>
  <c r="X44" i="1" s="1"/>
  <c r="AG44" i="1"/>
  <c r="CU44" i="1" s="1"/>
  <c r="T44" i="1" s="1"/>
  <c r="AH44" i="1"/>
  <c r="CV44" i="1" s="1"/>
  <c r="U44" i="1" s="1"/>
  <c r="AI44" i="1"/>
  <c r="AJ44" i="1"/>
  <c r="CX44" i="1" s="1"/>
  <c r="W44" i="1" s="1"/>
  <c r="CQ44" i="1"/>
  <c r="P44" i="1" s="1"/>
  <c r="CR44" i="1"/>
  <c r="Q44" i="1" s="1"/>
  <c r="CS44" i="1"/>
  <c r="CW44" i="1"/>
  <c r="V44" i="1" s="1"/>
  <c r="FR44" i="1"/>
  <c r="GL44" i="1"/>
  <c r="GO44" i="1"/>
  <c r="GP44" i="1"/>
  <c r="GV44" i="1"/>
  <c r="GX44" i="1" s="1"/>
  <c r="AC45" i="1"/>
  <c r="AE45" i="1"/>
  <c r="CS45" i="1" s="1"/>
  <c r="AF45" i="1"/>
  <c r="AG45" i="1"/>
  <c r="AH45" i="1"/>
  <c r="AI45" i="1"/>
  <c r="CW45" i="1" s="1"/>
  <c r="AJ45" i="1"/>
  <c r="CU45" i="1"/>
  <c r="CV45" i="1"/>
  <c r="CX45" i="1"/>
  <c r="FR45" i="1"/>
  <c r="GL45" i="1"/>
  <c r="GO45" i="1"/>
  <c r="GP45" i="1"/>
  <c r="GV45" i="1"/>
  <c r="I46" i="1"/>
  <c r="AC46" i="1"/>
  <c r="AE46" i="1"/>
  <c r="AD46" i="1" s="1"/>
  <c r="CR46" i="1" s="1"/>
  <c r="AF46" i="1"/>
  <c r="CT46" i="1" s="1"/>
  <c r="S46" i="1" s="1"/>
  <c r="AG46" i="1"/>
  <c r="AH46" i="1"/>
  <c r="CV46" i="1" s="1"/>
  <c r="AI46" i="1"/>
  <c r="CW46" i="1" s="1"/>
  <c r="V46" i="1" s="1"/>
  <c r="AJ46" i="1"/>
  <c r="CX46" i="1" s="1"/>
  <c r="W46" i="1" s="1"/>
  <c r="CQ46" i="1"/>
  <c r="CU46" i="1"/>
  <c r="T46" i="1" s="1"/>
  <c r="FR46" i="1"/>
  <c r="GL46" i="1"/>
  <c r="GO46" i="1"/>
  <c r="GP46" i="1"/>
  <c r="GV46" i="1"/>
  <c r="I47" i="1"/>
  <c r="AC47" i="1"/>
  <c r="AE47" i="1"/>
  <c r="AD47" i="1" s="1"/>
  <c r="AF47" i="1"/>
  <c r="AG47" i="1"/>
  <c r="CU47" i="1" s="1"/>
  <c r="T47" i="1" s="1"/>
  <c r="AH47" i="1"/>
  <c r="AI47" i="1"/>
  <c r="AJ47" i="1"/>
  <c r="CX47" i="1" s="1"/>
  <c r="CR47" i="1"/>
  <c r="Q47" i="1" s="1"/>
  <c r="W103" i="6" s="1"/>
  <c r="CS47" i="1"/>
  <c r="CV47" i="1"/>
  <c r="CW47" i="1"/>
  <c r="V47" i="1" s="1"/>
  <c r="Z103" i="6" s="1"/>
  <c r="FR47" i="1"/>
  <c r="GL47" i="1"/>
  <c r="GO47" i="1"/>
  <c r="GP47" i="1"/>
  <c r="GV47" i="1"/>
  <c r="GX47" i="1" s="1"/>
  <c r="I48" i="1"/>
  <c r="AC48" i="1"/>
  <c r="AE48" i="1"/>
  <c r="AD48" i="1" s="1"/>
  <c r="AF48" i="1"/>
  <c r="CT48" i="1" s="1"/>
  <c r="AG48" i="1"/>
  <c r="CU48" i="1" s="1"/>
  <c r="T48" i="1" s="1"/>
  <c r="AH48" i="1"/>
  <c r="CV48" i="1" s="1"/>
  <c r="AI48" i="1"/>
  <c r="CW48" i="1" s="1"/>
  <c r="AJ48" i="1"/>
  <c r="CX48" i="1" s="1"/>
  <c r="CQ48" i="1"/>
  <c r="P48" i="1" s="1"/>
  <c r="CS48" i="1"/>
  <c r="FR48" i="1"/>
  <c r="GL48" i="1"/>
  <c r="GO48" i="1"/>
  <c r="GP48" i="1"/>
  <c r="GV48" i="1"/>
  <c r="GX48" i="1" s="1"/>
  <c r="AC49" i="1"/>
  <c r="AD49" i="1"/>
  <c r="CR49" i="1" s="1"/>
  <c r="AE49" i="1"/>
  <c r="CS49" i="1" s="1"/>
  <c r="AF49" i="1"/>
  <c r="CT49" i="1" s="1"/>
  <c r="AG49" i="1"/>
  <c r="CU49" i="1" s="1"/>
  <c r="AH49" i="1"/>
  <c r="AI49" i="1"/>
  <c r="CW49" i="1" s="1"/>
  <c r="AJ49" i="1"/>
  <c r="CQ49" i="1"/>
  <c r="CV49" i="1"/>
  <c r="CX49" i="1"/>
  <c r="FR49" i="1"/>
  <c r="GL49" i="1"/>
  <c r="GO49" i="1"/>
  <c r="GP49" i="1"/>
  <c r="GV49" i="1"/>
  <c r="I50" i="1"/>
  <c r="AC50" i="1"/>
  <c r="AD50" i="1"/>
  <c r="CR50" i="1" s="1"/>
  <c r="AE50" i="1"/>
  <c r="AF50" i="1"/>
  <c r="AG50" i="1"/>
  <c r="CU50" i="1" s="1"/>
  <c r="T50" i="1" s="1"/>
  <c r="AH50" i="1"/>
  <c r="CV50" i="1" s="1"/>
  <c r="AI50" i="1"/>
  <c r="AJ50" i="1"/>
  <c r="CX50" i="1" s="1"/>
  <c r="W50" i="1" s="1"/>
  <c r="CQ50" i="1"/>
  <c r="P50" i="1" s="1"/>
  <c r="CS50" i="1"/>
  <c r="R50" i="1" s="1"/>
  <c r="GK50" i="1" s="1"/>
  <c r="CW50" i="1"/>
  <c r="V50" i="1" s="1"/>
  <c r="FR50" i="1"/>
  <c r="GL50" i="1"/>
  <c r="GO50" i="1"/>
  <c r="GP50" i="1"/>
  <c r="GV50" i="1"/>
  <c r="GX50" i="1" s="1"/>
  <c r="I51" i="1"/>
  <c r="AC51" i="1"/>
  <c r="AE51" i="1"/>
  <c r="AD51" i="1" s="1"/>
  <c r="CR51" i="1" s="1"/>
  <c r="AF51" i="1"/>
  <c r="AG51" i="1"/>
  <c r="CU51" i="1" s="1"/>
  <c r="T51" i="1" s="1"/>
  <c r="AH51" i="1"/>
  <c r="CV51" i="1" s="1"/>
  <c r="U51" i="1" s="1"/>
  <c r="Y107" i="6" s="1"/>
  <c r="AI51" i="1"/>
  <c r="CW51" i="1" s="1"/>
  <c r="AJ51" i="1"/>
  <c r="CS51" i="1"/>
  <c r="R51" i="1" s="1"/>
  <c r="CT51" i="1"/>
  <c r="S51" i="1" s="1"/>
  <c r="V107" i="6" s="1"/>
  <c r="CX51" i="1"/>
  <c r="FR51" i="1"/>
  <c r="GL51" i="1"/>
  <c r="GO51" i="1"/>
  <c r="GP51" i="1"/>
  <c r="GV51" i="1"/>
  <c r="GX51" i="1"/>
  <c r="O52" i="1"/>
  <c r="P52" i="1"/>
  <c r="Q52" i="1"/>
  <c r="R52" i="1"/>
  <c r="GK52" i="1" s="1"/>
  <c r="S52" i="1"/>
  <c r="T52" i="1"/>
  <c r="U52" i="1"/>
  <c r="V52" i="1"/>
  <c r="W52" i="1"/>
  <c r="X52" i="1"/>
  <c r="Y52" i="1"/>
  <c r="AB52" i="1"/>
  <c r="CP52" i="1" s="1"/>
  <c r="AC52" i="1"/>
  <c r="AD52" i="1"/>
  <c r="AE52" i="1"/>
  <c r="AF52" i="1"/>
  <c r="AG52" i="1"/>
  <c r="AH52" i="1"/>
  <c r="AI52" i="1"/>
  <c r="AJ52" i="1"/>
  <c r="FR52" i="1"/>
  <c r="GL52" i="1"/>
  <c r="GO52" i="1"/>
  <c r="GP52" i="1"/>
  <c r="GV52" i="1"/>
  <c r="GX52" i="1" s="1"/>
  <c r="O53" i="1"/>
  <c r="P53" i="1"/>
  <c r="U109" i="6" s="1"/>
  <c r="Q53" i="1"/>
  <c r="W109" i="6" s="1"/>
  <c r="R53" i="1"/>
  <c r="X109" i="6" s="1"/>
  <c r="S53" i="1"/>
  <c r="V109" i="6" s="1"/>
  <c r="T53" i="1"/>
  <c r="U53" i="1"/>
  <c r="V53" i="1"/>
  <c r="Z109" i="6" s="1"/>
  <c r="W53" i="1"/>
  <c r="X53" i="1"/>
  <c r="Y53" i="1"/>
  <c r="AB53" i="1"/>
  <c r="AC53" i="1"/>
  <c r="AD53" i="1"/>
  <c r="AE53" i="1"/>
  <c r="AF53" i="1"/>
  <c r="AG53" i="1"/>
  <c r="AH53" i="1"/>
  <c r="AI53" i="1"/>
  <c r="AJ53" i="1"/>
  <c r="CP53" i="1"/>
  <c r="GN53" i="1" s="1"/>
  <c r="FR53" i="1"/>
  <c r="GL53" i="1"/>
  <c r="GO53" i="1"/>
  <c r="GP53" i="1"/>
  <c r="GV53" i="1"/>
  <c r="GX53" i="1" s="1"/>
  <c r="O54" i="1"/>
  <c r="P54" i="1"/>
  <c r="Q54" i="1"/>
  <c r="R54" i="1"/>
  <c r="GK54" i="1" s="1"/>
  <c r="S54" i="1"/>
  <c r="T54" i="1"/>
  <c r="U54" i="1"/>
  <c r="V54" i="1"/>
  <c r="W54" i="1"/>
  <c r="X54" i="1"/>
  <c r="Y54" i="1"/>
  <c r="AB54" i="1"/>
  <c r="CP54" i="1" s="1"/>
  <c r="AC54" i="1"/>
  <c r="AD54" i="1"/>
  <c r="AE54" i="1"/>
  <c r="AF54" i="1"/>
  <c r="AG54" i="1"/>
  <c r="AH54" i="1"/>
  <c r="AI54" i="1"/>
  <c r="AJ54" i="1"/>
  <c r="FR54" i="1"/>
  <c r="GL54" i="1"/>
  <c r="GO54" i="1"/>
  <c r="GP54" i="1"/>
  <c r="GV54" i="1"/>
  <c r="GX54" i="1" s="1"/>
  <c r="O55" i="1"/>
  <c r="P55" i="1"/>
  <c r="U111" i="6" s="1"/>
  <c r="Q55" i="1"/>
  <c r="W111" i="6" s="1"/>
  <c r="R55" i="1"/>
  <c r="X111" i="6" s="1"/>
  <c r="S55" i="1"/>
  <c r="V111" i="6" s="1"/>
  <c r="T55" i="1"/>
  <c r="U55" i="1"/>
  <c r="V55" i="1"/>
  <c r="Z111" i="6" s="1"/>
  <c r="W55" i="1"/>
  <c r="X55" i="1"/>
  <c r="Y55" i="1"/>
  <c r="AB55" i="1"/>
  <c r="AC55" i="1"/>
  <c r="AD55" i="1"/>
  <c r="AE55" i="1"/>
  <c r="AF55" i="1"/>
  <c r="AG55" i="1"/>
  <c r="AH55" i="1"/>
  <c r="AI55" i="1"/>
  <c r="AJ55" i="1"/>
  <c r="CP55" i="1"/>
  <c r="GM55" i="1" s="1"/>
  <c r="FR55" i="1"/>
  <c r="GK55" i="1"/>
  <c r="GL55" i="1"/>
  <c r="GN55" i="1"/>
  <c r="GO55" i="1"/>
  <c r="GP55" i="1"/>
  <c r="GV55" i="1"/>
  <c r="GX55" i="1"/>
  <c r="B57" i="1"/>
  <c r="B22" i="1" s="1"/>
  <c r="C57" i="1"/>
  <c r="C22" i="1" s="1"/>
  <c r="D57" i="1"/>
  <c r="D22" i="1" s="1"/>
  <c r="F57" i="1"/>
  <c r="F22" i="1" s="1"/>
  <c r="G57" i="1"/>
  <c r="BX57" i="1"/>
  <c r="BX22" i="1" s="1"/>
  <c r="BY57" i="1"/>
  <c r="AP57" i="1" s="1"/>
  <c r="CK57" i="1"/>
  <c r="CK22" i="1" s="1"/>
  <c r="CL57" i="1"/>
  <c r="EU57" i="1"/>
  <c r="EU22" i="1" s="1"/>
  <c r="FP57" i="1"/>
  <c r="GC57" i="1"/>
  <c r="GC22" i="1" s="1"/>
  <c r="GD57" i="1"/>
  <c r="GD22" i="1" s="1"/>
  <c r="P73" i="1"/>
  <c r="B89" i="1"/>
  <c r="B18" i="1" s="1"/>
  <c r="C89" i="1"/>
  <c r="C18" i="1" s="1"/>
  <c r="D89" i="1"/>
  <c r="D18" i="1" s="1"/>
  <c r="F89" i="1"/>
  <c r="F18" i="1" s="1"/>
  <c r="G89" i="1"/>
  <c r="FR22" i="1" l="1"/>
  <c r="EI57" i="1"/>
  <c r="FV22" i="1"/>
  <c r="EM57" i="1"/>
  <c r="EM22" i="1" s="1"/>
  <c r="H111" i="6"/>
  <c r="K85" i="5"/>
  <c r="J86" i="5" s="1"/>
  <c r="P86" i="5" s="1"/>
  <c r="T111" i="6"/>
  <c r="AB38" i="1"/>
  <c r="CR38" i="1"/>
  <c r="Q38" i="1" s="1"/>
  <c r="T36" i="1"/>
  <c r="Y38" i="6"/>
  <c r="L33" i="5"/>
  <c r="Q33" i="5" s="1"/>
  <c r="L32" i="5"/>
  <c r="L75" i="5"/>
  <c r="Y86" i="6"/>
  <c r="L82" i="5"/>
  <c r="Q82" i="5" s="1"/>
  <c r="Y62" i="6"/>
  <c r="L53" i="5"/>
  <c r="L55" i="5"/>
  <c r="Q55" i="5" s="1"/>
  <c r="AB34" i="1"/>
  <c r="CR34" i="1"/>
  <c r="Q34" i="1" s="1"/>
  <c r="GN52" i="1"/>
  <c r="GM52" i="1"/>
  <c r="S41" i="1"/>
  <c r="P36" i="1"/>
  <c r="GM53" i="1"/>
  <c r="CQ51" i="1"/>
  <c r="P51" i="1" s="1"/>
  <c r="U107" i="6" s="1"/>
  <c r="H81" i="5"/>
  <c r="W81" i="5" s="1"/>
  <c r="F103" i="6"/>
  <c r="E79" i="5"/>
  <c r="S54" i="5"/>
  <c r="G18" i="1"/>
  <c r="C121" i="6"/>
  <c r="AG121" i="6"/>
  <c r="G22" i="1"/>
  <c r="C114" i="6"/>
  <c r="A88" i="5"/>
  <c r="V85" i="5"/>
  <c r="AB111" i="6"/>
  <c r="Y111" i="6"/>
  <c r="L86" i="5"/>
  <c r="Q86" i="5" s="1"/>
  <c r="AA109" i="6"/>
  <c r="T83" i="5"/>
  <c r="V51" i="1"/>
  <c r="Z107" i="6" s="1"/>
  <c r="Q51" i="1"/>
  <c r="W107" i="6" s="1"/>
  <c r="R48" i="1"/>
  <c r="GK48" i="1" s="1"/>
  <c r="U48" i="1"/>
  <c r="R47" i="1"/>
  <c r="CQ47" i="1"/>
  <c r="P47" i="1" s="1"/>
  <c r="U103" i="6" s="1"/>
  <c r="H79" i="5"/>
  <c r="W79" i="5" s="1"/>
  <c r="P46" i="1"/>
  <c r="AB46" i="1"/>
  <c r="U78" i="5"/>
  <c r="S78" i="5"/>
  <c r="AB44" i="1"/>
  <c r="CT43" i="1"/>
  <c r="U77" i="5"/>
  <c r="S77" i="5"/>
  <c r="CS42" i="1"/>
  <c r="R42" i="1" s="1"/>
  <c r="GK42" i="1" s="1"/>
  <c r="CT39" i="1"/>
  <c r="S39" i="1" s="1"/>
  <c r="U67" i="5"/>
  <c r="G92" i="6"/>
  <c r="G94" i="6"/>
  <c r="H69" i="5"/>
  <c r="S67" i="5"/>
  <c r="I41" i="1"/>
  <c r="E67" i="5"/>
  <c r="C87" i="6"/>
  <c r="F86" i="6"/>
  <c r="C68" i="5"/>
  <c r="Y75" i="6"/>
  <c r="L64" i="5"/>
  <c r="L66" i="5"/>
  <c r="Q66" i="5" s="1"/>
  <c r="G81" i="6"/>
  <c r="G82" i="6"/>
  <c r="U56" i="5"/>
  <c r="S56" i="5"/>
  <c r="H58" i="5"/>
  <c r="U34" i="1"/>
  <c r="P34" i="1"/>
  <c r="CT33" i="1"/>
  <c r="GK31" i="1"/>
  <c r="X62" i="6"/>
  <c r="K49" i="5"/>
  <c r="CQ31" i="1"/>
  <c r="P31" i="1" s="1"/>
  <c r="H50" i="5"/>
  <c r="U43" i="5"/>
  <c r="S43" i="5"/>
  <c r="AB28" i="1"/>
  <c r="P28" i="1"/>
  <c r="AB27" i="1"/>
  <c r="G49" i="6" s="1"/>
  <c r="G59" i="6"/>
  <c r="G57" i="6"/>
  <c r="H36" i="5"/>
  <c r="U34" i="5"/>
  <c r="H41" i="5" s="1"/>
  <c r="G55" i="6"/>
  <c r="S34" i="5"/>
  <c r="S25" i="1"/>
  <c r="AD35" i="1"/>
  <c r="H60" i="5"/>
  <c r="R60" i="5" s="1"/>
  <c r="CX6" i="3"/>
  <c r="C39" i="6"/>
  <c r="F38" i="6"/>
  <c r="C26" i="5"/>
  <c r="E25" i="5"/>
  <c r="GK51" i="1"/>
  <c r="X107" i="6"/>
  <c r="E81" i="5"/>
  <c r="F107" i="6"/>
  <c r="AB50" i="1"/>
  <c r="FU57" i="1"/>
  <c r="U47" i="1"/>
  <c r="Y103" i="6" s="1"/>
  <c r="W47" i="1"/>
  <c r="S79" i="5"/>
  <c r="U79" i="5"/>
  <c r="GX46" i="1"/>
  <c r="CQ45" i="1"/>
  <c r="CQ43" i="1"/>
  <c r="H77" i="5"/>
  <c r="W77" i="5" s="1"/>
  <c r="T41" i="1"/>
  <c r="AB41" i="1"/>
  <c r="G97" i="6" s="1"/>
  <c r="CQ39" i="1"/>
  <c r="P39" i="1" s="1"/>
  <c r="H72" i="5"/>
  <c r="BZ57" i="1"/>
  <c r="CS36" i="1"/>
  <c r="R36" i="1" s="1"/>
  <c r="GK36" i="1" s="1"/>
  <c r="CS35" i="1"/>
  <c r="R35" i="1" s="1"/>
  <c r="CQ35" i="1"/>
  <c r="P35" i="1" s="1"/>
  <c r="H61" i="5"/>
  <c r="GX34" i="1"/>
  <c r="G70" i="6"/>
  <c r="G68" i="6"/>
  <c r="H47" i="5"/>
  <c r="S45" i="5"/>
  <c r="U45" i="5"/>
  <c r="C63" i="6"/>
  <c r="F62" i="6"/>
  <c r="E45" i="5"/>
  <c r="C46" i="5"/>
  <c r="CY30" i="1"/>
  <c r="X30" i="1" s="1"/>
  <c r="GK29" i="1"/>
  <c r="AD29" i="1"/>
  <c r="CR29" i="1" s="1"/>
  <c r="Q29" i="1" s="1"/>
  <c r="W60" i="6" s="1"/>
  <c r="CT27" i="1"/>
  <c r="S27" i="1" s="1"/>
  <c r="Y49" i="6"/>
  <c r="L42" i="5"/>
  <c r="L44" i="5"/>
  <c r="Q44" i="5" s="1"/>
  <c r="AD27" i="1"/>
  <c r="CX18" i="3"/>
  <c r="C50" i="6"/>
  <c r="F49" i="6"/>
  <c r="E34" i="5"/>
  <c r="C35" i="5"/>
  <c r="Q26" i="1"/>
  <c r="G44" i="6"/>
  <c r="U25" i="5"/>
  <c r="H31" i="5" s="1"/>
  <c r="H27" i="5"/>
  <c r="S25" i="5"/>
  <c r="H30" i="5" s="1"/>
  <c r="G46" i="6"/>
  <c r="CS24" i="1"/>
  <c r="R24" i="1" s="1"/>
  <c r="GK24" i="1" s="1"/>
  <c r="U24" i="1"/>
  <c r="T85" i="5"/>
  <c r="AA111" i="6"/>
  <c r="FQ57" i="1"/>
  <c r="V36" i="1"/>
  <c r="V75" i="6"/>
  <c r="K58" i="5"/>
  <c r="ET57" i="1"/>
  <c r="H83" i="5"/>
  <c r="G109" i="6"/>
  <c r="BB57" i="1"/>
  <c r="G111" i="6"/>
  <c r="H85" i="5"/>
  <c r="GK53" i="1"/>
  <c r="V83" i="5"/>
  <c r="AB109" i="6"/>
  <c r="L84" i="5"/>
  <c r="Q84" i="5" s="1"/>
  <c r="Y109" i="6"/>
  <c r="W51" i="1"/>
  <c r="S81" i="5"/>
  <c r="U81" i="5"/>
  <c r="CT50" i="1"/>
  <c r="S50" i="1" s="1"/>
  <c r="CZ50" i="1" s="1"/>
  <c r="Y50" i="1" s="1"/>
  <c r="V48" i="1"/>
  <c r="CT47" i="1"/>
  <c r="S47" i="1" s="1"/>
  <c r="V103" i="6" s="1"/>
  <c r="CS46" i="1"/>
  <c r="R46" i="1" s="1"/>
  <c r="GK46" i="1" s="1"/>
  <c r="CT45" i="1"/>
  <c r="F99" i="6"/>
  <c r="E77" i="5"/>
  <c r="U42" i="1"/>
  <c r="GX41" i="1"/>
  <c r="T39" i="1"/>
  <c r="P38" i="1"/>
  <c r="GX36" i="1"/>
  <c r="C57" i="5"/>
  <c r="C76" i="6"/>
  <c r="E56" i="5"/>
  <c r="F75" i="6"/>
  <c r="AD33" i="1"/>
  <c r="CR33" i="1" s="1"/>
  <c r="Q33" i="1" s="1"/>
  <c r="W73" i="6" s="1"/>
  <c r="CT31" i="1"/>
  <c r="S31" i="1" s="1"/>
  <c r="AD31" i="1"/>
  <c r="H49" i="5"/>
  <c r="R49" i="5" s="1"/>
  <c r="CZ30" i="1"/>
  <c r="Y30" i="1" s="1"/>
  <c r="CT29" i="1"/>
  <c r="S29" i="1" s="1"/>
  <c r="V60" i="6" s="1"/>
  <c r="F60" i="6"/>
  <c r="E43" i="5"/>
  <c r="CS27" i="1"/>
  <c r="R27" i="1" s="1"/>
  <c r="CQ27" i="1"/>
  <c r="P27" i="1" s="1"/>
  <c r="H39" i="5"/>
  <c r="R26" i="1"/>
  <c r="GK26" i="1" s="1"/>
  <c r="P26" i="1"/>
  <c r="V25" i="1"/>
  <c r="Z38" i="6" s="1"/>
  <c r="AD25" i="1"/>
  <c r="H29" i="5"/>
  <c r="R29" i="5" s="1"/>
  <c r="P24" i="1"/>
  <c r="CP24" i="1" s="1"/>
  <c r="O24" i="1" s="1"/>
  <c r="AB24" i="1"/>
  <c r="GN54" i="1"/>
  <c r="GM54" i="1"/>
  <c r="AP22" i="1"/>
  <c r="AP89" i="1"/>
  <c r="F66" i="1"/>
  <c r="G16" i="2" s="1"/>
  <c r="G18" i="2" s="1"/>
  <c r="CY51" i="1"/>
  <c r="X51" i="1" s="1"/>
  <c r="CZ51" i="1"/>
  <c r="Y51" i="1" s="1"/>
  <c r="CP51" i="1"/>
  <c r="O51" i="1" s="1"/>
  <c r="CP44" i="1"/>
  <c r="O44" i="1" s="1"/>
  <c r="FQ22" i="1"/>
  <c r="EH57" i="1"/>
  <c r="GA57" i="1"/>
  <c r="CY42" i="1"/>
  <c r="X42" i="1" s="1"/>
  <c r="CZ42" i="1"/>
  <c r="Y42" i="1" s="1"/>
  <c r="FU22" i="1"/>
  <c r="EL57" i="1"/>
  <c r="BZ22" i="1"/>
  <c r="AQ57" i="1"/>
  <c r="CR48" i="1"/>
  <c r="Q48" i="1" s="1"/>
  <c r="AB48" i="1"/>
  <c r="CY47" i="1"/>
  <c r="X47" i="1" s="1"/>
  <c r="CZ47" i="1"/>
  <c r="Y47" i="1" s="1"/>
  <c r="FP22" i="1"/>
  <c r="EG57" i="1"/>
  <c r="FY57" i="1"/>
  <c r="CP47" i="1"/>
  <c r="O47" i="1" s="1"/>
  <c r="CL22" i="1"/>
  <c r="BC57" i="1"/>
  <c r="CG57" i="1"/>
  <c r="EU89" i="1"/>
  <c r="EI89" i="1"/>
  <c r="F70" i="1"/>
  <c r="W48" i="1"/>
  <c r="S48" i="1"/>
  <c r="AD45" i="1"/>
  <c r="CR45" i="1" s="1"/>
  <c r="S43" i="1"/>
  <c r="V99" i="6" s="1"/>
  <c r="CQ41" i="1"/>
  <c r="Q41" i="1"/>
  <c r="W97" i="6" s="1"/>
  <c r="GX40" i="1"/>
  <c r="CJ57" i="1" s="1"/>
  <c r="AB36" i="1"/>
  <c r="CR36" i="1"/>
  <c r="Q36" i="1" s="1"/>
  <c r="CY35" i="1"/>
  <c r="X35" i="1" s="1"/>
  <c r="CD22" i="1"/>
  <c r="AU57" i="1"/>
  <c r="BY22" i="1"/>
  <c r="CI57" i="1"/>
  <c r="AT57" i="1"/>
  <c r="AO57" i="1"/>
  <c r="AB45" i="1"/>
  <c r="G101" i="6" s="1"/>
  <c r="R40" i="1"/>
  <c r="CZ27" i="1"/>
  <c r="Y27" i="1" s="1"/>
  <c r="CY27" i="1"/>
  <c r="X27" i="1" s="1"/>
  <c r="AB49" i="1"/>
  <c r="G105" i="6" s="1"/>
  <c r="AB47" i="1"/>
  <c r="G103" i="6" s="1"/>
  <c r="U46" i="1"/>
  <c r="Q46" i="1"/>
  <c r="CP46" i="1" s="1"/>
  <c r="O46" i="1" s="1"/>
  <c r="CS43" i="1"/>
  <c r="R43" i="1" s="1"/>
  <c r="P43" i="1"/>
  <c r="T42" i="1"/>
  <c r="P42" i="1"/>
  <c r="CP42" i="1" s="1"/>
  <c r="O42" i="1" s="1"/>
  <c r="AD40" i="1"/>
  <c r="CS39" i="1"/>
  <c r="R39" i="1" s="1"/>
  <c r="AD39" i="1"/>
  <c r="H70" i="5" s="1"/>
  <c r="CY31" i="1"/>
  <c r="X31" i="1" s="1"/>
  <c r="CZ31" i="1"/>
  <c r="Y31" i="1" s="1"/>
  <c r="CY29" i="1"/>
  <c r="X29" i="1" s="1"/>
  <c r="CZ29" i="1"/>
  <c r="Y29" i="1" s="1"/>
  <c r="P76" i="1"/>
  <c r="AB51" i="1"/>
  <c r="G107" i="6" s="1"/>
  <c r="U50" i="1"/>
  <c r="Q50" i="1"/>
  <c r="CP50" i="1" s="1"/>
  <c r="O50" i="1" s="1"/>
  <c r="CZ44" i="1"/>
  <c r="Y44" i="1" s="1"/>
  <c r="W43" i="1"/>
  <c r="CR43" i="1"/>
  <c r="Q43" i="1" s="1"/>
  <c r="W99" i="6" s="1"/>
  <c r="T43" i="1"/>
  <c r="AB42" i="1"/>
  <c r="CP28" i="1"/>
  <c r="O28" i="1" s="1"/>
  <c r="I49" i="1"/>
  <c r="I45" i="1"/>
  <c r="AB37" i="1"/>
  <c r="G84" i="6" s="1"/>
  <c r="T35" i="1"/>
  <c r="AB35" i="1"/>
  <c r="G75" i="6" s="1"/>
  <c r="W34" i="1"/>
  <c r="S34" i="1"/>
  <c r="CP34" i="1" s="1"/>
  <c r="O34" i="1" s="1"/>
  <c r="CX38" i="3"/>
  <c r="CX42" i="3"/>
  <c r="CX39" i="3"/>
  <c r="CX36" i="3"/>
  <c r="CX40" i="3"/>
  <c r="CX37" i="3"/>
  <c r="CX41" i="3"/>
  <c r="I33" i="1"/>
  <c r="CX30" i="3"/>
  <c r="CX34" i="3"/>
  <c r="CX31" i="3"/>
  <c r="CX35" i="3"/>
  <c r="CX32" i="3"/>
  <c r="CX29" i="3"/>
  <c r="CX33" i="3"/>
  <c r="I40" i="1"/>
  <c r="T40" i="1" s="1"/>
  <c r="AG57" i="1" s="1"/>
  <c r="W38" i="1"/>
  <c r="S38" i="1"/>
  <c r="CX50" i="3"/>
  <c r="CX54" i="3"/>
  <c r="CX51" i="3"/>
  <c r="CX55" i="3"/>
  <c r="CX52" i="3"/>
  <c r="CX56" i="3"/>
  <c r="CX53" i="3"/>
  <c r="I37" i="1"/>
  <c r="H65" i="5" s="1"/>
  <c r="W65" i="5" s="1"/>
  <c r="CX46" i="3"/>
  <c r="CX43" i="3"/>
  <c r="CX47" i="3"/>
  <c r="CX44" i="3"/>
  <c r="CX48" i="3"/>
  <c r="CX45" i="3"/>
  <c r="CX49" i="3"/>
  <c r="V33" i="1"/>
  <c r="Z73" i="6" s="1"/>
  <c r="R33" i="1"/>
  <c r="W32" i="1"/>
  <c r="S32" i="1"/>
  <c r="CQ29" i="1"/>
  <c r="P29" i="1" s="1"/>
  <c r="U60" i="6" s="1"/>
  <c r="W28" i="1"/>
  <c r="S28" i="1"/>
  <c r="CY26" i="1"/>
  <c r="X26" i="1" s="1"/>
  <c r="CZ26" i="1"/>
  <c r="Y26" i="1" s="1"/>
  <c r="CX70" i="3"/>
  <c r="CX74" i="3"/>
  <c r="CX78" i="3"/>
  <c r="CX71" i="3"/>
  <c r="CX75" i="3"/>
  <c r="CX68" i="3"/>
  <c r="CX72" i="3"/>
  <c r="CX76" i="3"/>
  <c r="CX69" i="3"/>
  <c r="CX73" i="3"/>
  <c r="CX77" i="3"/>
  <c r="CX58" i="3"/>
  <c r="CX62" i="3"/>
  <c r="CX66" i="3"/>
  <c r="CX59" i="3"/>
  <c r="CX63" i="3"/>
  <c r="CX67" i="3"/>
  <c r="CX60" i="3"/>
  <c r="CX64" i="3"/>
  <c r="CX57" i="3"/>
  <c r="CX61" i="3"/>
  <c r="CX65" i="3"/>
  <c r="R37" i="1"/>
  <c r="W36" i="1"/>
  <c r="S36" i="1"/>
  <c r="U36" i="1"/>
  <c r="CQ33" i="1"/>
  <c r="P33" i="1" s="1"/>
  <c r="U73" i="6" s="1"/>
  <c r="AB30" i="1"/>
  <c r="CP30" i="1"/>
  <c r="O30" i="1" s="1"/>
  <c r="CY24" i="1"/>
  <c r="X24" i="1" s="1"/>
  <c r="GN24" i="1" s="1"/>
  <c r="CZ24" i="1"/>
  <c r="Y24" i="1" s="1"/>
  <c r="CS25" i="1"/>
  <c r="R25" i="1" s="1"/>
  <c r="CX25" i="3"/>
  <c r="CX21" i="3"/>
  <c r="CX17" i="3"/>
  <c r="CX13" i="3"/>
  <c r="CX9" i="3"/>
  <c r="CX5" i="3"/>
  <c r="CX1" i="3"/>
  <c r="AB26" i="1"/>
  <c r="CX28" i="3"/>
  <c r="CX24" i="3"/>
  <c r="CX20" i="3"/>
  <c r="CX16" i="3"/>
  <c r="CX12" i="3"/>
  <c r="CX8" i="3"/>
  <c r="CX4" i="3"/>
  <c r="CX27" i="3"/>
  <c r="CX23" i="3"/>
  <c r="CX19" i="3"/>
  <c r="CX15" i="3"/>
  <c r="CX11" i="3"/>
  <c r="CX7" i="3"/>
  <c r="CX3" i="3"/>
  <c r="CX26" i="3"/>
  <c r="CX22" i="3"/>
  <c r="CX14" i="3"/>
  <c r="H51" i="5" l="1"/>
  <c r="W49" i="1"/>
  <c r="F105" i="6"/>
  <c r="E80" i="5"/>
  <c r="H68" i="6"/>
  <c r="AA62" i="6"/>
  <c r="T45" i="5"/>
  <c r="GK43" i="1"/>
  <c r="X99" i="6"/>
  <c r="AA75" i="6"/>
  <c r="H81" i="6"/>
  <c r="T56" i="5"/>
  <c r="H103" i="6"/>
  <c r="T103" i="6"/>
  <c r="K79" i="5"/>
  <c r="T49" i="1"/>
  <c r="T107" i="6"/>
  <c r="H107" i="6"/>
  <c r="K81" i="5"/>
  <c r="CR25" i="1"/>
  <c r="Q25" i="1" s="1"/>
  <c r="H28" i="5"/>
  <c r="W33" i="5" s="1"/>
  <c r="GK35" i="1"/>
  <c r="X75" i="6"/>
  <c r="K60" i="5"/>
  <c r="S80" i="5"/>
  <c r="R58" i="5"/>
  <c r="AB60" i="6"/>
  <c r="V43" i="5"/>
  <c r="CY50" i="1"/>
  <c r="X50" i="1" s="1"/>
  <c r="AB107" i="6"/>
  <c r="V81" i="5"/>
  <c r="U49" i="6"/>
  <c r="K39" i="5"/>
  <c r="H43" i="5"/>
  <c r="W43" i="5" s="1"/>
  <c r="G84" i="5"/>
  <c r="O84" i="5" s="1"/>
  <c r="W84" i="5"/>
  <c r="F97" i="6"/>
  <c r="E76" i="5"/>
  <c r="R41" i="1"/>
  <c r="W41" i="1"/>
  <c r="F73" i="6"/>
  <c r="E54" i="5"/>
  <c r="AA60" i="6"/>
  <c r="T43" i="5"/>
  <c r="H57" i="6"/>
  <c r="AB49" i="6"/>
  <c r="V34" i="5"/>
  <c r="CZ46" i="1"/>
  <c r="Y46" i="1" s="1"/>
  <c r="GM46" i="1" s="1"/>
  <c r="U41" i="1"/>
  <c r="Y97" i="6" s="1"/>
  <c r="CY46" i="1"/>
  <c r="X46" i="1" s="1"/>
  <c r="AA107" i="6"/>
  <c r="T81" i="5"/>
  <c r="CP26" i="1"/>
  <c r="O26" i="1" s="1"/>
  <c r="GK27" i="1"/>
  <c r="X49" i="6"/>
  <c r="K38" i="5"/>
  <c r="AB29" i="1"/>
  <c r="G60" i="6" s="1"/>
  <c r="H48" i="5"/>
  <c r="AB31" i="1"/>
  <c r="CR31" i="1"/>
  <c r="Q31" i="1" s="1"/>
  <c r="U65" i="5"/>
  <c r="H63" i="5" s="1"/>
  <c r="S76" i="5"/>
  <c r="ET22" i="1"/>
  <c r="P70" i="1"/>
  <c r="ET89" i="1"/>
  <c r="H76" i="5"/>
  <c r="W76" i="5" s="1"/>
  <c r="V38" i="6"/>
  <c r="K27" i="5"/>
  <c r="R36" i="5"/>
  <c r="V41" i="1"/>
  <c r="Z97" i="6" s="1"/>
  <c r="GK47" i="1"/>
  <c r="X103" i="6"/>
  <c r="H109" i="6"/>
  <c r="T109" i="6"/>
  <c r="K83" i="5"/>
  <c r="J84" i="5" s="1"/>
  <c r="P84" i="5" s="1"/>
  <c r="EI22" i="1"/>
  <c r="P67" i="1"/>
  <c r="GK37" i="1"/>
  <c r="X84" i="6"/>
  <c r="P37" i="1"/>
  <c r="U84" i="6" s="1"/>
  <c r="F84" i="6"/>
  <c r="E65" i="5"/>
  <c r="GX49" i="1"/>
  <c r="V79" i="5"/>
  <c r="AB103" i="6"/>
  <c r="H59" i="5"/>
  <c r="CR35" i="1"/>
  <c r="Q35" i="1" s="1"/>
  <c r="AB33" i="1"/>
  <c r="G73" i="6" s="1"/>
  <c r="V86" i="6"/>
  <c r="K69" i="5"/>
  <c r="CZ41" i="1"/>
  <c r="Y41" i="1" s="1"/>
  <c r="V97" i="6"/>
  <c r="L88" i="5"/>
  <c r="CY25" i="1"/>
  <c r="X25" i="1" s="1"/>
  <c r="X38" i="6"/>
  <c r="K29" i="5"/>
  <c r="AB25" i="1"/>
  <c r="V37" i="1"/>
  <c r="Z84" i="6" s="1"/>
  <c r="GN26" i="1"/>
  <c r="H55" i="6"/>
  <c r="AA49" i="6"/>
  <c r="T34" i="5"/>
  <c r="AA103" i="6"/>
  <c r="T79" i="5"/>
  <c r="G86" i="5"/>
  <c r="O86" i="5" s="1"/>
  <c r="W86" i="5"/>
  <c r="R27" i="5"/>
  <c r="R47" i="5"/>
  <c r="U86" i="6"/>
  <c r="K72" i="5"/>
  <c r="H80" i="5"/>
  <c r="W80" i="5" s="1"/>
  <c r="GK33" i="1"/>
  <c r="X73" i="6"/>
  <c r="U45" i="1"/>
  <c r="Y101" i="6" s="1"/>
  <c r="F101" i="6"/>
  <c r="E78" i="5"/>
  <c r="AB62" i="6"/>
  <c r="H70" i="6"/>
  <c r="V45" i="5"/>
  <c r="CY39" i="1"/>
  <c r="X39" i="1" s="1"/>
  <c r="K71" i="5"/>
  <c r="X86" i="6"/>
  <c r="CP43" i="1"/>
  <c r="O43" i="1" s="1"/>
  <c r="U99" i="6"/>
  <c r="CZ35" i="1"/>
  <c r="Y35" i="1" s="1"/>
  <c r="W40" i="1"/>
  <c r="P41" i="1"/>
  <c r="EM89" i="1"/>
  <c r="CP48" i="1"/>
  <c r="O48" i="1" s="1"/>
  <c r="U40" i="1"/>
  <c r="AH57" i="1" s="1"/>
  <c r="V62" i="6"/>
  <c r="K47" i="5"/>
  <c r="S65" i="5"/>
  <c r="H62" i="5" s="1"/>
  <c r="U76" i="5"/>
  <c r="BB22" i="1"/>
  <c r="BB89" i="1"/>
  <c r="CR27" i="1"/>
  <c r="Q27" i="1" s="1"/>
  <c r="H37" i="5"/>
  <c r="V49" i="6"/>
  <c r="K36" i="5"/>
  <c r="CP35" i="1"/>
  <c r="O35" i="1" s="1"/>
  <c r="K61" i="5"/>
  <c r="U75" i="6"/>
  <c r="H78" i="5"/>
  <c r="W78" i="5" s="1"/>
  <c r="U80" i="5"/>
  <c r="H40" i="5"/>
  <c r="U62" i="6"/>
  <c r="K50" i="5"/>
  <c r="H54" i="5"/>
  <c r="W54" i="5" s="1"/>
  <c r="G83" i="6"/>
  <c r="R69" i="5"/>
  <c r="U54" i="5"/>
  <c r="H52" i="5" s="1"/>
  <c r="GN46" i="1"/>
  <c r="AG22" i="1"/>
  <c r="T57" i="1"/>
  <c r="CY32" i="1"/>
  <c r="X32" i="1" s="1"/>
  <c r="CZ32" i="1"/>
  <c r="Y32" i="1" s="1"/>
  <c r="CY38" i="1"/>
  <c r="X38" i="1" s="1"/>
  <c r="CZ38" i="1"/>
  <c r="Y38" i="1" s="1"/>
  <c r="CY36" i="1"/>
  <c r="X36" i="1" s="1"/>
  <c r="CZ36" i="1"/>
  <c r="Y36" i="1" s="1"/>
  <c r="CY28" i="1"/>
  <c r="X28" i="1" s="1"/>
  <c r="CZ28" i="1"/>
  <c r="Y28" i="1" s="1"/>
  <c r="CP36" i="1"/>
  <c r="O36" i="1" s="1"/>
  <c r="AB40" i="1"/>
  <c r="CR40" i="1"/>
  <c r="Q40" i="1" s="1"/>
  <c r="AD57" i="1" s="1"/>
  <c r="GK40" i="1"/>
  <c r="AE57" i="1"/>
  <c r="AU22" i="1"/>
  <c r="F76" i="1"/>
  <c r="AU89" i="1"/>
  <c r="R49" i="1"/>
  <c r="GM26" i="1"/>
  <c r="AJ57" i="1"/>
  <c r="U33" i="1"/>
  <c r="Y73" i="6" s="1"/>
  <c r="W33" i="1"/>
  <c r="S33" i="1"/>
  <c r="V73" i="6" s="1"/>
  <c r="GX33" i="1"/>
  <c r="R45" i="1"/>
  <c r="DW57" i="1" s="1"/>
  <c r="T33" i="1"/>
  <c r="GM42" i="1"/>
  <c r="GN42" i="1"/>
  <c r="GX45" i="1"/>
  <c r="V40" i="1"/>
  <c r="AI57" i="1" s="1"/>
  <c r="AT22" i="1"/>
  <c r="AT89" i="1"/>
  <c r="F75" i="1"/>
  <c r="F16" i="2" s="1"/>
  <c r="F18" i="2" s="1"/>
  <c r="S40" i="1"/>
  <c r="AF57" i="1" s="1"/>
  <c r="Q45" i="1"/>
  <c r="W101" i="6" s="1"/>
  <c r="V49" i="1"/>
  <c r="Z105" i="6" s="1"/>
  <c r="EU18" i="1"/>
  <c r="P105" i="1"/>
  <c r="GM47" i="1"/>
  <c r="GN47" i="1"/>
  <c r="P40" i="1"/>
  <c r="EH22" i="1"/>
  <c r="P66" i="1"/>
  <c r="V16" i="2" s="1"/>
  <c r="V18" i="2" s="1"/>
  <c r="EH89" i="1"/>
  <c r="GK25" i="1"/>
  <c r="GN30" i="1"/>
  <c r="GM30" i="1"/>
  <c r="CP29" i="1"/>
  <c r="O29" i="1" s="1"/>
  <c r="S37" i="1"/>
  <c r="V84" i="6" s="1"/>
  <c r="T37" i="1"/>
  <c r="Q37" i="1"/>
  <c r="W37" i="1"/>
  <c r="GX37" i="1"/>
  <c r="CY34" i="1"/>
  <c r="X34" i="1" s="1"/>
  <c r="GM34" i="1" s="1"/>
  <c r="CZ34" i="1"/>
  <c r="Y34" i="1" s="1"/>
  <c r="GN28" i="1"/>
  <c r="CP38" i="1"/>
  <c r="O38" i="1" s="1"/>
  <c r="V45" i="1"/>
  <c r="AB39" i="1"/>
  <c r="CR39" i="1"/>
  <c r="Q39" i="1" s="1"/>
  <c r="CI22" i="1"/>
  <c r="AZ57" i="1"/>
  <c r="CY48" i="1"/>
  <c r="X48" i="1" s="1"/>
  <c r="CZ48" i="1"/>
  <c r="Y48" i="1" s="1"/>
  <c r="CG22" i="1"/>
  <c r="AX57" i="1"/>
  <c r="Q49" i="1"/>
  <c r="W105" i="6" s="1"/>
  <c r="S45" i="1"/>
  <c r="V101" i="6" s="1"/>
  <c r="P45" i="1"/>
  <c r="U49" i="1"/>
  <c r="Y105" i="6" s="1"/>
  <c r="P49" i="1"/>
  <c r="U105" i="6" s="1"/>
  <c r="S49" i="1"/>
  <c r="V105" i="6" s="1"/>
  <c r="CJ22" i="1"/>
  <c r="BA57" i="1"/>
  <c r="EI18" i="1"/>
  <c r="P99" i="1"/>
  <c r="BC22" i="1"/>
  <c r="F73" i="1"/>
  <c r="BC89" i="1"/>
  <c r="FY22" i="1"/>
  <c r="EP57" i="1"/>
  <c r="AQ22" i="1"/>
  <c r="F67" i="1"/>
  <c r="AQ89" i="1"/>
  <c r="T45" i="1"/>
  <c r="U37" i="1"/>
  <c r="Y84" i="6" s="1"/>
  <c r="GN44" i="1"/>
  <c r="GM44" i="1"/>
  <c r="GM50" i="1"/>
  <c r="GN50" i="1"/>
  <c r="CZ25" i="1"/>
  <c r="Y25" i="1" s="1"/>
  <c r="GK39" i="1"/>
  <c r="CZ39" i="1"/>
  <c r="Y39" i="1" s="1"/>
  <c r="GM24" i="1"/>
  <c r="AO22" i="1"/>
  <c r="AO89" i="1"/>
  <c r="F61" i="1"/>
  <c r="CP32" i="1"/>
  <c r="O32" i="1" s="1"/>
  <c r="CY43" i="1"/>
  <c r="X43" i="1" s="1"/>
  <c r="CZ43" i="1"/>
  <c r="Y43" i="1" s="1"/>
  <c r="EM18" i="1"/>
  <c r="P108" i="1"/>
  <c r="EG22" i="1"/>
  <c r="EG89" i="1"/>
  <c r="P61" i="1"/>
  <c r="EL22" i="1"/>
  <c r="P75" i="1"/>
  <c r="U16" i="2" s="1"/>
  <c r="U18" i="2" s="1"/>
  <c r="EL89" i="1"/>
  <c r="GA22" i="1"/>
  <c r="ER57" i="1"/>
  <c r="GN51" i="1"/>
  <c r="GM51" i="1"/>
  <c r="AP18" i="1"/>
  <c r="F98" i="1"/>
  <c r="W45" i="1"/>
  <c r="W55" i="5" l="1"/>
  <c r="G33" i="5"/>
  <c r="O33" i="5" s="1"/>
  <c r="G66" i="5"/>
  <c r="O66" i="5" s="1"/>
  <c r="H73" i="5"/>
  <c r="W66" i="5"/>
  <c r="G44" i="5"/>
  <c r="O44" i="5" s="1"/>
  <c r="H74" i="5"/>
  <c r="U57" i="1"/>
  <c r="AH22" i="1"/>
  <c r="G55" i="5"/>
  <c r="O55" i="5" s="1"/>
  <c r="GM43" i="1"/>
  <c r="AA99" i="6"/>
  <c r="T77" i="5"/>
  <c r="H94" i="6"/>
  <c r="AB86" i="6"/>
  <c r="V67" i="5"/>
  <c r="CP45" i="1"/>
  <c r="O45" i="1" s="1"/>
  <c r="U101" i="6"/>
  <c r="GK49" i="1"/>
  <c r="X105" i="6"/>
  <c r="BB18" i="1"/>
  <c r="F102" i="1"/>
  <c r="T67" i="5"/>
  <c r="AA86" i="6"/>
  <c r="H92" i="6"/>
  <c r="G38" i="6"/>
  <c r="G48" i="6"/>
  <c r="ET18" i="1"/>
  <c r="P102" i="1"/>
  <c r="W38" i="6"/>
  <c r="K28" i="5"/>
  <c r="CP25" i="1"/>
  <c r="O25" i="1" s="1"/>
  <c r="GK45" i="1"/>
  <c r="X101" i="6"/>
  <c r="T99" i="6"/>
  <c r="H99" i="6"/>
  <c r="K77" i="5"/>
  <c r="W62" i="6"/>
  <c r="K48" i="5"/>
  <c r="CP31" i="1"/>
  <c r="O31" i="1" s="1"/>
  <c r="H46" i="6"/>
  <c r="AB38" i="6"/>
  <c r="V25" i="5"/>
  <c r="K31" i="5" s="1"/>
  <c r="GM48" i="1"/>
  <c r="G86" i="6"/>
  <c r="G96" i="6"/>
  <c r="DV57" i="1"/>
  <c r="W84" i="6"/>
  <c r="GM28" i="1"/>
  <c r="W49" i="6"/>
  <c r="K37" i="5"/>
  <c r="CP27" i="1"/>
  <c r="O27" i="1" s="1"/>
  <c r="G18" i="5"/>
  <c r="AB97" i="6"/>
  <c r="V76" i="5"/>
  <c r="W75" i="6"/>
  <c r="K59" i="5"/>
  <c r="W44" i="5"/>
  <c r="G62" i="6"/>
  <c r="G72" i="6"/>
  <c r="K41" i="5"/>
  <c r="X97" i="6"/>
  <c r="GK41" i="1"/>
  <c r="CY41" i="1"/>
  <c r="X41" i="1" s="1"/>
  <c r="CP39" i="1"/>
  <c r="O39" i="1" s="1"/>
  <c r="K70" i="5"/>
  <c r="W86" i="6"/>
  <c r="T60" i="6"/>
  <c r="H60" i="6"/>
  <c r="K43" i="5"/>
  <c r="H75" i="6"/>
  <c r="T75" i="6"/>
  <c r="H83" i="6"/>
  <c r="GM35" i="1"/>
  <c r="CP41" i="1"/>
  <c r="O41" i="1" s="1"/>
  <c r="U97" i="6"/>
  <c r="AB99" i="6"/>
  <c r="V77" i="5"/>
  <c r="EA57" i="1"/>
  <c r="EA22" i="1" s="1"/>
  <c r="Z101" i="6"/>
  <c r="H82" i="6"/>
  <c r="AB75" i="6"/>
  <c r="V56" i="5"/>
  <c r="K40" i="5"/>
  <c r="AA38" i="6"/>
  <c r="H44" i="6"/>
  <c r="T25" i="5"/>
  <c r="K30" i="5" s="1"/>
  <c r="J33" i="5" s="1"/>
  <c r="P33" i="5" s="1"/>
  <c r="GN35" i="1"/>
  <c r="AF22" i="1"/>
  <c r="S57" i="1"/>
  <c r="DV22" i="1"/>
  <c r="DI57" i="1"/>
  <c r="AD22" i="1"/>
  <c r="Q57" i="1"/>
  <c r="CY49" i="1"/>
  <c r="X49" i="1" s="1"/>
  <c r="CZ49" i="1"/>
  <c r="Y49" i="1" s="1"/>
  <c r="AI22" i="1"/>
  <c r="V57" i="1"/>
  <c r="ER22" i="1"/>
  <c r="P68" i="1"/>
  <c r="ER89" i="1"/>
  <c r="GM32" i="1"/>
  <c r="GN32" i="1"/>
  <c r="BA22" i="1"/>
  <c r="BA89" i="1"/>
  <c r="F77" i="1"/>
  <c r="GN25" i="1"/>
  <c r="GN34" i="1"/>
  <c r="AK57" i="1"/>
  <c r="EP22" i="1"/>
  <c r="P64" i="1"/>
  <c r="EP89" i="1"/>
  <c r="AX22" i="1"/>
  <c r="AX89" i="1"/>
  <c r="F64" i="1"/>
  <c r="AZ22" i="1"/>
  <c r="F68" i="1"/>
  <c r="AZ89" i="1"/>
  <c r="EH18" i="1"/>
  <c r="P98" i="1"/>
  <c r="AT18" i="1"/>
  <c r="F107" i="1"/>
  <c r="GB57" i="1"/>
  <c r="AJ22" i="1"/>
  <c r="W57" i="1"/>
  <c r="GM25" i="1"/>
  <c r="CP37" i="1"/>
  <c r="O37" i="1" s="1"/>
  <c r="GM38" i="1"/>
  <c r="GN38" i="1"/>
  <c r="DU57" i="1"/>
  <c r="CZ33" i="1"/>
  <c r="Y33" i="1" s="1"/>
  <c r="CY33" i="1"/>
  <c r="X33" i="1" s="1"/>
  <c r="DX57" i="1"/>
  <c r="AE22" i="1"/>
  <c r="R57" i="1"/>
  <c r="GN43" i="1"/>
  <c r="U22" i="1"/>
  <c r="F79" i="1"/>
  <c r="U89" i="1"/>
  <c r="GN48" i="1"/>
  <c r="EG18" i="1"/>
  <c r="P93" i="1"/>
  <c r="AO18" i="1"/>
  <c r="F93" i="1"/>
  <c r="AQ18" i="1"/>
  <c r="F99" i="1"/>
  <c r="DW22" i="1"/>
  <c r="DJ57" i="1"/>
  <c r="CY40" i="1"/>
  <c r="X40" i="1" s="1"/>
  <c r="CZ40" i="1"/>
  <c r="Y40" i="1" s="1"/>
  <c r="AL57" i="1" s="1"/>
  <c r="DY57" i="1"/>
  <c r="EB57" i="1"/>
  <c r="AU18" i="1"/>
  <c r="F108" i="1"/>
  <c r="GM36" i="1"/>
  <c r="GN36" i="1"/>
  <c r="EL18" i="1"/>
  <c r="P107" i="1"/>
  <c r="BC18" i="1"/>
  <c r="F105" i="1"/>
  <c r="CY45" i="1"/>
  <c r="X45" i="1" s="1"/>
  <c r="CZ45" i="1"/>
  <c r="Y45" i="1" s="1"/>
  <c r="GN39" i="1"/>
  <c r="GM39" i="1"/>
  <c r="GN29" i="1"/>
  <c r="GM29" i="1"/>
  <c r="CP49" i="1"/>
  <c r="O49" i="1" s="1"/>
  <c r="CY37" i="1"/>
  <c r="X37" i="1" s="1"/>
  <c r="CZ37" i="1"/>
  <c r="Y37" i="1" s="1"/>
  <c r="CP33" i="1"/>
  <c r="O33" i="1" s="1"/>
  <c r="CP40" i="1"/>
  <c r="O40" i="1" s="1"/>
  <c r="AC57" i="1"/>
  <c r="DZ57" i="1"/>
  <c r="H16" i="2"/>
  <c r="H18" i="2" s="1"/>
  <c r="T22" i="1"/>
  <c r="F78" i="1"/>
  <c r="T89" i="1"/>
  <c r="G82" i="5" l="1"/>
  <c r="O82" i="5" s="1"/>
  <c r="G15" i="5" s="1"/>
  <c r="W82" i="5"/>
  <c r="G16" i="5" s="1"/>
  <c r="AA84" i="6"/>
  <c r="T65" i="5"/>
  <c r="K62" i="5" s="1"/>
  <c r="T62" i="6"/>
  <c r="H62" i="6"/>
  <c r="H72" i="6"/>
  <c r="GN31" i="1"/>
  <c r="GM31" i="1"/>
  <c r="FS57" i="1" s="1"/>
  <c r="AB84" i="6"/>
  <c r="V65" i="5"/>
  <c r="AA101" i="6"/>
  <c r="T78" i="5"/>
  <c r="DN57" i="1"/>
  <c r="J44" i="5"/>
  <c r="P44" i="5" s="1"/>
  <c r="T97" i="6"/>
  <c r="K76" i="5"/>
  <c r="H97" i="6"/>
  <c r="GN41" i="1"/>
  <c r="GM41" i="1"/>
  <c r="EC57" i="1"/>
  <c r="AA73" i="6"/>
  <c r="T54" i="5"/>
  <c r="K51" i="5" s="1"/>
  <c r="T105" i="6"/>
  <c r="H105" i="6"/>
  <c r="K80" i="5"/>
  <c r="ED57" i="1"/>
  <c r="DQ57" i="1" s="1"/>
  <c r="AB73" i="6"/>
  <c r="V54" i="5"/>
  <c r="K52" i="5" s="1"/>
  <c r="GM45" i="1"/>
  <c r="AB105" i="6"/>
  <c r="V80" i="5"/>
  <c r="H96" i="6"/>
  <c r="H86" i="6"/>
  <c r="T86" i="6"/>
  <c r="H48" i="6"/>
  <c r="H38" i="6"/>
  <c r="T38" i="6"/>
  <c r="K63" i="5"/>
  <c r="T76" i="5"/>
  <c r="AA97" i="6"/>
  <c r="H59" i="6"/>
  <c r="T49" i="6"/>
  <c r="H49" i="6"/>
  <c r="GM27" i="1"/>
  <c r="GN27" i="1"/>
  <c r="DT57" i="1"/>
  <c r="DT22" i="1" s="1"/>
  <c r="T73" i="6"/>
  <c r="H73" i="6"/>
  <c r="K54" i="5"/>
  <c r="GN45" i="1"/>
  <c r="AB101" i="6"/>
  <c r="V78" i="5"/>
  <c r="H84" i="6"/>
  <c r="T84" i="6"/>
  <c r="K65" i="5"/>
  <c r="AA105" i="6"/>
  <c r="T80" i="5"/>
  <c r="H101" i="6"/>
  <c r="T101" i="6"/>
  <c r="K78" i="5"/>
  <c r="ED22" i="1"/>
  <c r="DG57" i="1"/>
  <c r="EC22" i="1"/>
  <c r="DP57" i="1"/>
  <c r="DZ22" i="1"/>
  <c r="DM57" i="1"/>
  <c r="AL22" i="1"/>
  <c r="Y57" i="1"/>
  <c r="AC22" i="1"/>
  <c r="CE57" i="1"/>
  <c r="CH57" i="1"/>
  <c r="P57" i="1"/>
  <c r="CF57" i="1"/>
  <c r="DX22" i="1"/>
  <c r="DK57" i="1"/>
  <c r="GN37" i="1"/>
  <c r="GM37" i="1"/>
  <c r="GB22" i="1"/>
  <c r="ES57" i="1"/>
  <c r="Q22" i="1"/>
  <c r="F69" i="1"/>
  <c r="Q89" i="1"/>
  <c r="EB22" i="1"/>
  <c r="DO57" i="1"/>
  <c r="AZ18" i="1"/>
  <c r="F100" i="1"/>
  <c r="AX18" i="1"/>
  <c r="F96" i="1"/>
  <c r="V22" i="1"/>
  <c r="F80" i="1"/>
  <c r="V89" i="1"/>
  <c r="GN40" i="1"/>
  <c r="CB57" i="1" s="1"/>
  <c r="GM40" i="1"/>
  <c r="CA57" i="1" s="1"/>
  <c r="AB57" i="1"/>
  <c r="GN33" i="1"/>
  <c r="GM33" i="1"/>
  <c r="R22" i="1"/>
  <c r="F71" i="1"/>
  <c r="R89" i="1"/>
  <c r="W22" i="1"/>
  <c r="W89" i="1"/>
  <c r="F81" i="1"/>
  <c r="AK22" i="1"/>
  <c r="X57" i="1"/>
  <c r="BA18" i="1"/>
  <c r="F109" i="1"/>
  <c r="ER18" i="1"/>
  <c r="P100" i="1"/>
  <c r="DN22" i="1"/>
  <c r="P80" i="1"/>
  <c r="DN89" i="1"/>
  <c r="DI22" i="1"/>
  <c r="DI89" i="1"/>
  <c r="P69" i="1"/>
  <c r="S22" i="1"/>
  <c r="F72" i="1"/>
  <c r="J16" i="2" s="1"/>
  <c r="J18" i="2" s="1"/>
  <c r="S89" i="1"/>
  <c r="GN49" i="1"/>
  <c r="GM49" i="1"/>
  <c r="DJ22" i="1"/>
  <c r="P71" i="1"/>
  <c r="DJ89" i="1"/>
  <c r="DY22" i="1"/>
  <c r="DL57" i="1"/>
  <c r="U18" i="1"/>
  <c r="F111" i="1"/>
  <c r="T18" i="1"/>
  <c r="F110" i="1"/>
  <c r="DU22" i="1"/>
  <c r="DH57" i="1"/>
  <c r="FW57" i="1"/>
  <c r="FZ57" i="1"/>
  <c r="FX57" i="1"/>
  <c r="EP18" i="1"/>
  <c r="P96" i="1"/>
  <c r="G88" i="5" l="1"/>
  <c r="J66" i="5"/>
  <c r="P66" i="5" s="1"/>
  <c r="K74" i="5"/>
  <c r="K73" i="5"/>
  <c r="J55" i="5"/>
  <c r="P55" i="5" s="1"/>
  <c r="H121" i="6"/>
  <c r="H114" i="6"/>
  <c r="FT57" i="1"/>
  <c r="FT22" i="1" s="1"/>
  <c r="CB22" i="1"/>
  <c r="AS57" i="1"/>
  <c r="FS22" i="1"/>
  <c r="EJ57" i="1"/>
  <c r="CE22" i="1"/>
  <c r="AV57" i="1"/>
  <c r="R18" i="1"/>
  <c r="F103" i="1"/>
  <c r="DH22" i="1"/>
  <c r="P60" i="1"/>
  <c r="DH89" i="1"/>
  <c r="DJ18" i="1"/>
  <c r="P103" i="1"/>
  <c r="AB22" i="1"/>
  <c r="O57" i="1"/>
  <c r="P22" i="1"/>
  <c r="F60" i="1"/>
  <c r="P89" i="1"/>
  <c r="Y22" i="1"/>
  <c r="Y89" i="1"/>
  <c r="F83" i="1"/>
  <c r="DP22" i="1"/>
  <c r="P82" i="1"/>
  <c r="DP89" i="1"/>
  <c r="DQ22" i="1"/>
  <c r="DQ89" i="1"/>
  <c r="P83" i="1"/>
  <c r="X22" i="1"/>
  <c r="F82" i="1"/>
  <c r="X89" i="1"/>
  <c r="FX22" i="1"/>
  <c r="EO57" i="1"/>
  <c r="S18" i="1"/>
  <c r="F104" i="1"/>
  <c r="DI18" i="1"/>
  <c r="P101" i="1"/>
  <c r="W18" i="1"/>
  <c r="F113" i="1"/>
  <c r="Q18" i="1"/>
  <c r="F101" i="1"/>
  <c r="ES22" i="1"/>
  <c r="P77" i="1"/>
  <c r="W16" i="2" s="1"/>
  <c r="W18" i="2" s="1"/>
  <c r="ES89" i="1"/>
  <c r="DK22" i="1"/>
  <c r="P72" i="1"/>
  <c r="Y16" i="2" s="1"/>
  <c r="Y18" i="2" s="1"/>
  <c r="DK89" i="1"/>
  <c r="CH22" i="1"/>
  <c r="AY57" i="1"/>
  <c r="DM22" i="1"/>
  <c r="DM89" i="1"/>
  <c r="P79" i="1"/>
  <c r="CA22" i="1"/>
  <c r="AR57" i="1"/>
  <c r="FZ22" i="1"/>
  <c r="EQ57" i="1"/>
  <c r="DL22" i="1"/>
  <c r="P78" i="1"/>
  <c r="DL89" i="1"/>
  <c r="DG22" i="1"/>
  <c r="DG89" i="1"/>
  <c r="P59" i="1"/>
  <c r="FW22" i="1"/>
  <c r="EN57" i="1"/>
  <c r="DN18" i="1"/>
  <c r="P112" i="1"/>
  <c r="V18" i="1"/>
  <c r="F112" i="1"/>
  <c r="DO22" i="1"/>
  <c r="DO89" i="1"/>
  <c r="P81" i="1"/>
  <c r="CF22" i="1"/>
  <c r="AW57" i="1"/>
  <c r="J82" i="5" l="1"/>
  <c r="P82" i="5" s="1"/>
  <c r="J88" i="5"/>
  <c r="EK57" i="1"/>
  <c r="DO18" i="1"/>
  <c r="P113" i="1"/>
  <c r="AR22" i="1"/>
  <c r="F84" i="1"/>
  <c r="F85" i="1" s="1"/>
  <c r="AR89" i="1"/>
  <c r="DG18" i="1"/>
  <c r="P91" i="1"/>
  <c r="AY22" i="1"/>
  <c r="F65" i="1"/>
  <c r="AY89" i="1"/>
  <c r="DP18" i="1"/>
  <c r="P114" i="1"/>
  <c r="EK22" i="1"/>
  <c r="P74" i="1"/>
  <c r="T16" i="2" s="1"/>
  <c r="EK89" i="1"/>
  <c r="EN22" i="1"/>
  <c r="P62" i="1"/>
  <c r="EN89" i="1"/>
  <c r="DL18" i="1"/>
  <c r="P110" i="1"/>
  <c r="DM18" i="1"/>
  <c r="P111" i="1"/>
  <c r="I17" i="5" s="1"/>
  <c r="G17" i="5" s="1"/>
  <c r="DK18" i="1"/>
  <c r="P104" i="1"/>
  <c r="I18" i="5" s="1"/>
  <c r="X18" i="1"/>
  <c r="F114" i="1"/>
  <c r="DQ18" i="1"/>
  <c r="P115" i="1"/>
  <c r="P18" i="1"/>
  <c r="F92" i="1"/>
  <c r="AV22" i="1"/>
  <c r="F62" i="1"/>
  <c r="AV89" i="1"/>
  <c r="AS22" i="1"/>
  <c r="F74" i="1"/>
  <c r="E16" i="2" s="1"/>
  <c r="AS89" i="1"/>
  <c r="AW22" i="1"/>
  <c r="F63" i="1"/>
  <c r="AW89" i="1"/>
  <c r="EO22" i="1"/>
  <c r="EO89" i="1"/>
  <c r="P63" i="1"/>
  <c r="Y18" i="1"/>
  <c r="F115" i="1"/>
  <c r="EJ22" i="1"/>
  <c r="P84" i="1"/>
  <c r="P85" i="1" s="1"/>
  <c r="G117" i="6" s="1"/>
  <c r="EJ89" i="1"/>
  <c r="EQ22" i="1"/>
  <c r="EQ89" i="1"/>
  <c r="P65" i="1"/>
  <c r="ES18" i="1"/>
  <c r="P109" i="1"/>
  <c r="O22" i="1"/>
  <c r="F59" i="1"/>
  <c r="O89" i="1"/>
  <c r="DH18" i="1"/>
  <c r="P92" i="1"/>
  <c r="F86" i="1" l="1"/>
  <c r="F87" i="1" s="1"/>
  <c r="O18" i="1"/>
  <c r="F91" i="1"/>
  <c r="EJ18" i="1"/>
  <c r="P116" i="1"/>
  <c r="P117" i="1" s="1"/>
  <c r="AW18" i="1"/>
  <c r="F95" i="1"/>
  <c r="I16" i="2"/>
  <c r="I18" i="2" s="1"/>
  <c r="E18" i="2"/>
  <c r="EK18" i="1"/>
  <c r="P106" i="1"/>
  <c r="I16" i="5" s="1"/>
  <c r="AS18" i="1"/>
  <c r="F106" i="1"/>
  <c r="EN18" i="1"/>
  <c r="P94" i="1"/>
  <c r="X16" i="2"/>
  <c r="X18" i="2" s="1"/>
  <c r="T18" i="2"/>
  <c r="AY18" i="1"/>
  <c r="F97" i="1"/>
  <c r="P86" i="1"/>
  <c r="G118" i="6" s="1"/>
  <c r="EQ18" i="1"/>
  <c r="P97" i="1"/>
  <c r="EO18" i="1"/>
  <c r="P95" i="1"/>
  <c r="AV18" i="1"/>
  <c r="F94" i="1"/>
  <c r="AR18" i="1"/>
  <c r="F116" i="1"/>
  <c r="F117" i="1" s="1"/>
  <c r="P87" i="1" l="1"/>
  <c r="G119" i="6" s="1"/>
  <c r="G123" i="6"/>
  <c r="P118" i="1"/>
  <c r="F118" i="1"/>
  <c r="F119" i="1" s="1"/>
  <c r="P119" i="1" l="1"/>
  <c r="J89" i="5"/>
  <c r="G124" i="6"/>
  <c r="G125" i="6" l="1"/>
  <c r="J90" i="5"/>
  <c r="F31" i="6"/>
  <c r="I15" i="5"/>
</calcChain>
</file>

<file path=xl/sharedStrings.xml><?xml version="1.0" encoding="utf-8"?>
<sst xmlns="http://schemas.openxmlformats.org/spreadsheetml/2006/main" count="2865" uniqueCount="371">
  <si>
    <t>Smeta.RU  (495) 974-1589</t>
  </si>
  <si>
    <t>_PS_</t>
  </si>
  <si>
    <t>Smeta.RU</t>
  </si>
  <si>
    <t>НИЯУ МИФИ  Доп. раб. место  MCCS-0027251</t>
  </si>
  <si>
    <t>Новый объект</t>
  </si>
  <si>
    <t>Капитальный ремонт окооных проемов общежития ДИТИ НИЯУ МИФИ_цена поставщика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</si>
  <si>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</si>
  <si>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</si>
  <si>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</si>
  <si>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</si>
  <si>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</si>
  <si>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</si>
  <si>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</si>
  <si>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</si>
  <si>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</si>
  <si>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</si>
  <si>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</si>
  <si>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</si>
  <si>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</si>
  <si>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</si>
  <si>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</si>
  <si>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</si>
  <si>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</si>
  <si>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*0,8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</si>
  <si>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</si>
  <si>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</si>
  <si>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</si>
  <si>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</si>
  <si>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Деревянные конструкции</t>
  </si>
  <si>
    <t>ФЕР-10</t>
  </si>
  <si>
    <t>2,1</t>
  </si>
  <si>
    <t>Цена поставщика</t>
  </si>
  <si>
    <t>Блок оконный пластиковый</t>
  </si>
  <si>
    <t>м2</t>
  </si>
  <si>
    <t>[3 458,17 / 1,18]</t>
  </si>
  <si>
    <t>[3 458,17 / 1,18 /  6,57]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</si>
  <si>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</si>
  <si>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</si>
  <si>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</si>
  <si>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</si>
  <si>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</si>
  <si>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</si>
  <si>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Доски подоконные ПВХ</t>
  </si>
  <si>
    <t>м</t>
  </si>
  <si>
    <t>[1 798,67 / 1,18 /  6,57]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</si>
  <si>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</si>
  <si>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</si>
  <si>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</si>
  <si>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</si>
  <si>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</si>
  <si>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</si>
  <si>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</si>
  <si>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</si>
  <si>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Водоотлив оконный шириной планки 250 мм из оцинкованной стали с полимерным покрытием</t>
  </si>
  <si>
    <t>[222 / 1,18 /  6,57]</t>
  </si>
  <si>
    <t>5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</si>
  <si>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</si>
  <si>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</si>
  <si>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</si>
  <si>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</si>
  <si>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</si>
  <si>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5,1</t>
  </si>
  <si>
    <t>01.6.01.11</t>
  </si>
  <si>
    <t>Листы облицовочные декоративные</t>
  </si>
  <si>
    <t>5,2</t>
  </si>
  <si>
    <t>11.3.03.05-0001</t>
  </si>
  <si>
    <t>Панели пластиковые для откосов "Реас Пласт" шириной 0,4 м, длиной 3,0 м, белые матовые, лакированные</t>
  </si>
  <si>
    <t>ФССЦ-2001, 11.3.03.05-0001, приказ Минстроя России №1039/пр от 30.12.2016г.</t>
  </si>
  <si>
    <t>5,3</t>
  </si>
  <si>
    <t>14.1.06.05</t>
  </si>
  <si>
    <t>Клей</t>
  </si>
  <si>
    <t>кг</t>
  </si>
  <si>
    <t>5,4</t>
  </si>
  <si>
    <t>14.1.02.03-0002</t>
  </si>
  <si>
    <t>Клей ПВА</t>
  </si>
  <si>
    <t>ФССЦ-2001, 14.1.02.03-0002, приказ Минстроя России №1039/пр от 30.12.2016г.</t>
  </si>
  <si>
    <t>5,5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</si>
  <si>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</si>
  <si>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</si>
  <si>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</si>
  <si>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5,6</t>
  </si>
  <si>
    <t>14.4.01.21</t>
  </si>
  <si>
    <t>Грунтовка</t>
  </si>
  <si>
    <t>т</t>
  </si>
  <si>
    <t>6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</si>
  <si>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</si>
  <si>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</si>
  <si>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</si>
  <si>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</si>
  <si>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</si>
  <si>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</si>
  <si>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</si>
  <si>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7</t>
  </si>
  <si>
    <t>т03-21-01-015</t>
  </si>
  <si>
    <t>Перевозка грузов I класса автомобилями-самосвалами грузоподъемностью 10 т работающих вне карьера на расстояние до 15 км</t>
  </si>
  <si>
    <t>ФССЦпг-2001, т03-21-01-015,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</si>
  <si>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</si>
  <si>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</si>
  <si>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</si>
  <si>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</si>
  <si>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</si>
  <si>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</si>
  <si>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</si>
  <si>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</si>
  <si>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</si>
  <si>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</si>
  <si>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</si>
  <si>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</si>
  <si>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</si>
  <si>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</si>
  <si>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</si>
  <si>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</si>
  <si>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</si>
  <si>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</si>
  <si>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</si>
  <si>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</si>
  <si>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</si>
  <si>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</si>
  <si>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</si>
  <si>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</si>
  <si>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</si>
  <si>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</si>
  <si>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</si>
  <si>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</si>
  <si>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</si>
  <si>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</si>
  <si>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</si>
  <si>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</si>
  <si>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</si>
  <si>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</si>
  <si>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</si>
  <si>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</si>
  <si>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</si>
  <si>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</si>
  <si>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</si>
  <si>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</si>
  <si>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</si>
  <si>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</si>
  <si>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</si>
  <si>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</si>
  <si>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</si>
  <si>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</si>
  <si>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</si>
  <si>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</si>
  <si>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</si>
  <si>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</si>
  <si>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</si>
  <si>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</si>
  <si>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</si>
  <si>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</si>
  <si>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</si>
  <si>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</si>
  <si>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</si>
  <si>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</si>
  <si>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</si>
  <si>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</si>
  <si>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</si>
  <si>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</si>
  <si>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</si>
  <si>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</si>
  <si>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</si>
  <si>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</si>
  <si>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</si>
  <si>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</si>
  <si>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</si>
  <si>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</si>
  <si>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</si>
  <si>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</si>
  <si>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</si>
  <si>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</si>
  <si>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</si>
  <si>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</si>
  <si>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</si>
  <si>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</si>
  <si>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</si>
  <si>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</si>
  <si>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</si>
  <si>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</si>
  <si>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</si>
  <si>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</si>
  <si>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</si>
  <si>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</si>
  <si>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</si>
  <si>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</si>
  <si>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</si>
  <si>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</si>
  <si>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</si>
  <si>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</si>
  <si>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</si>
  <si>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</si>
  <si>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</si>
  <si>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</si>
  <si>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</si>
  <si>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</si>
  <si>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</si>
  <si>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</si>
  <si>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</si>
  <si>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</si>
  <si>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</si>
  <si>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</si>
  <si>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</si>
  <si>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</si>
  <si>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</si>
  <si>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</si>
  <si>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</si>
  <si>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</si>
  <si>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</si>
  <si>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</si>
  <si>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</si>
  <si>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</si>
  <si>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</si>
  <si>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</si>
  <si>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</si>
  <si>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</si>
  <si>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</si>
  <si>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</si>
  <si>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</si>
  <si>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</si>
  <si>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Новый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</si>
  <si>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</si>
  <si>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</si>
  <si>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</si>
  <si>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</si>
  <si>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</si>
  <si>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</si>
  <si>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</si>
  <si>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</si>
  <si>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</si>
  <si>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</si>
  <si>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</si>
  <si>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</si>
  <si>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</si>
  <si>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</si>
  <si>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</si>
  <si>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</si>
  <si>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</si>
  <si>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</si>
  <si>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</si>
  <si>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</si>
  <si>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</si>
  <si>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</si>
  <si>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</si>
  <si>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</si>
  <si>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</si>
  <si>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</si>
  <si>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</si>
  <si>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</si>
  <si>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</si>
  <si>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</si>
  <si>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</si>
  <si>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</si>
  <si>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</si>
  <si>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</si>
  <si>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</si>
  <si>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</si>
  <si>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</si>
  <si>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</si>
  <si>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</si>
  <si>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</si>
  <si>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</si>
  <si>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</si>
  <si>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</si>
  <si>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</si>
  <si>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</si>
  <si>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</si>
  <si>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</si>
  <si>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</si>
  <si>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</si>
  <si>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</si>
  <si>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</si>
  <si>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11.3.02.03</t>
  </si>
  <si>
    <t>Блоки оконные пластиковые</t>
  </si>
  <si>
    <t>11.3.03.01</t>
  </si>
  <si>
    <t>01.7.07.07</t>
  </si>
  <si>
    <t>Строительный мусор</t>
  </si>
  <si>
    <t>08.3.05.05</t>
  </si>
  <si>
    <t>Сталь листовая оцинкованная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</si>
  <si>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</si>
  <si>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</si>
  <si>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</si>
  <si>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</si>
  <si>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</si>
  <si>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</si>
  <si>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</si>
  <si>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</si>
  <si>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</si>
  <si>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</si>
  <si>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</si>
  <si>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</si>
  <si>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</si>
  <si>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</si>
  <si>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</si>
  <si>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</si>
  <si>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</si>
  <si>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</si>
  <si>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</si>
  <si>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</si>
  <si>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</si>
  <si>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</si>
  <si>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</si>
  <si>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</si>
  <si>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</si>
  <si>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</si>
  <si>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</si>
  <si>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</si>
  <si>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</si>
  <si>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пластиковый</t>
    </r>
    <r>
      <rPr>
        <i/>
        <sz val="10"/>
        <rFont val="Arial"/>
        <family val="2"/>
        <charset val="204"/>
      </rPr>
      <t xml:space="preserve">
Базисная стоимость: 446,07 = [3 458,17 / 1,18 /  6,57]</t>
    </r>
  </si>
  <si>
    <r>
      <t>Доски подоконные ПВХ</t>
    </r>
    <r>
      <rPr>
        <i/>
        <sz val="10"/>
        <rFont val="Arial"/>
        <family val="2"/>
        <charset val="204"/>
      </rPr>
      <t xml:space="preserve">
Базисная стоимость: 232,01 = [1 798,67 / 1,18 /  6,57]</t>
    </r>
  </si>
  <si>
    <r>
      <t>Водоотлив оконный шириной планки 250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28,64 = [222 / 1,18 /  6,57]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</si>
  <si>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</si>
  <si>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</si>
  <si>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</si>
  <si>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</si>
  <si>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</si>
  <si>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</si>
  <si>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</si>
  <si>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</si>
  <si>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</si>
  <si>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</si>
  <si>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</si>
  <si>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</si>
  <si>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</si>
  <si>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</si>
  <si>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</si>
  <si>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</si>
  <si>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</si>
  <si>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</si>
  <si>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</si>
  <si>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</si>
  <si>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</si>
  <si>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</si>
  <si>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</si>
  <si>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</si>
  <si>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</si>
  <si>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</si>
  <si>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</si>
  <si>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</si>
  <si>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</si>
  <si>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</si>
  <si>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</si>
  <si>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</si>
  <si>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</si>
  <si>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</si>
  <si>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</si>
  <si>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</si>
  <si>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</si>
  <si>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</si>
  <si>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</si>
  <si>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</si>
  <si>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</si>
  <si>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</si>
  <si>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</si>
  <si>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</si>
  <si>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</si>
  <si>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</si>
  <si>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</si>
  <si>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</si>
  <si>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</si>
  <si>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</si>
  <si>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</si>
  <si>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</si>
  <si>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</si>
  <si>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</si>
  <si>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</si>
  <si>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</si>
  <si>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</si>
  <si>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</si>
  <si>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</si>
  <si>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</si>
  <si>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 xml:space="preserve">Капитальный ремонт оконных проемов с заменой деревянных оконных блоков на оконные блоки из ПВХ в помещениях №501-№532 5-го этажа, № 401-№ 432 4-го этажа в здании общежития Димитровградского инженерно-технологического института - филиала НИЯУ МИФИ (ДИТИ НИЯУ МИФИ) по адресу: Ульяновская область, г. Димитровград, ул. Куйбышева, д. 292  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</si>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</sst>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21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5" fontId="13" fillId="0" borderId="0" xfId="0" applyNumberFormat="1" applyFont="1"/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8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5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3" fillId="0" borderId="2" xfId="0" applyNumberFormat="1" applyFont="1" applyBorder="1" applyAlignment="1">
      <alignment horizontal="right"/>
    </xf>
    <xf numFmtId="164" fontId="12" fillId="0" borderId="2" xfId="0" applyNumberFormat="1" applyFont="1" applyBorder="1" applyAlignment="1">
      <alignment horizontal="right"/>
    </xf>
    <xf numFmtId="164" fontId="20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5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6" fillId="0" borderId="0" xfId="0" applyFont="1" applyAlignment="1">
      <alignment horizontal="left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 applyAlignment="1">
      <alignment horizontal="right" wrapText="1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 wrapText="1"/>
    </xf>
    <xf numFmtId="0" fontId="14" fillId="0" borderId="0" xfId="0" applyFont="1" applyAlignment="1">
      <alignment horizontal="center" wrapText="1"/>
    </xf>
    <xf numFmtId="164" fontId="16" fillId="0" borderId="0" xfId="0" applyNumberFormat="1" applyFont="1" applyAlignment="1">
      <alignment horizontal="right"/>
    </xf>
    <xf numFmtId="164" fontId="16" fillId="0" borderId="1" xfId="0" applyNumberFormat="1" applyFont="1" applyBorder="1" applyAlignment="1">
      <alignment horizontal="right"/>
    </xf>
    <xf numFmtId="0" fontId="12" fillId="0" borderId="1" xfId="0" applyFont="1" applyBorder="1" applyAlignment="1">
      <alignment horizontal="center" vertical="top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3" fillId="0" borderId="5" xfId="0" quotePrefix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96"/>
  <sheetViews>
    <sheetView tabSelected="1" zoomScaleNormal="100" workbookViewId="0">
      <selection activeCell="B11" sqref="B11:K11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1" width="0" hidden="1" customWidth="1"/>
    <col min="32" max="32" width="91.7109375" hidden="1" customWidth="1"/>
    <col min="33" max="36" width="0" hidden="1" customWidth="1"/>
  </cols>
  <sheetData>
    <row r="1" spans="1:30" x14ac:dyDescent="0.2">
      <c r="A1" s="12" t="str">
        <f>Source!B1</f>
        <v>Smeta.RU  (495) 974-1589</v>
      </c>
      <c r="H1" t="s">
        <v>370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30" ht="16.5" x14ac:dyDescent="0.25">
      <c r="A3" s="15"/>
      <c r="B3" s="90"/>
      <c r="C3" s="90"/>
      <c r="D3" s="90"/>
      <c r="E3" s="90"/>
      <c r="F3" s="14"/>
      <c r="G3" s="14"/>
      <c r="H3" s="90"/>
      <c r="I3" s="90"/>
      <c r="J3" s="90"/>
      <c r="K3" s="90"/>
      <c r="L3" s="90"/>
    </row>
    <row r="4" spans="1:30" ht="14.25" x14ac:dyDescent="0.2">
      <c r="A4" s="16"/>
      <c r="B4" s="16"/>
      <c r="C4" s="17"/>
      <c r="D4" s="17"/>
      <c r="E4" s="17"/>
      <c r="F4" s="14"/>
      <c r="G4" s="14"/>
      <c r="H4" s="18"/>
      <c r="I4" s="17"/>
      <c r="J4" s="17"/>
      <c r="K4" s="17"/>
      <c r="L4" s="18"/>
    </row>
    <row r="5" spans="1:30" ht="14.25" x14ac:dyDescent="0.2">
      <c r="A5" s="18"/>
      <c r="B5" s="73"/>
      <c r="C5" s="73"/>
      <c r="D5" s="73"/>
      <c r="E5" s="73"/>
      <c r="F5" s="14"/>
      <c r="G5" s="14"/>
      <c r="H5" s="91"/>
      <c r="I5" s="91"/>
      <c r="J5" s="91"/>
      <c r="K5" s="91"/>
      <c r="L5" s="91"/>
    </row>
    <row r="6" spans="1:30" ht="14.25" x14ac:dyDescent="0.2">
      <c r="A6" s="19"/>
      <c r="B6" s="89"/>
      <c r="C6" s="89"/>
      <c r="D6" s="89"/>
      <c r="E6" s="89"/>
      <c r="F6" s="14"/>
      <c r="G6" s="14"/>
      <c r="H6" s="89"/>
      <c r="I6" s="89"/>
      <c r="J6" s="89"/>
      <c r="K6" s="89"/>
      <c r="L6" s="89"/>
    </row>
    <row r="9" spans="1:30" ht="15.75" x14ac:dyDescent="0.25">
      <c r="A9" s="20"/>
      <c r="B9" s="85" t="s">
        <v>368</v>
      </c>
      <c r="C9" s="85"/>
      <c r="D9" s="85"/>
      <c r="E9" s="85"/>
      <c r="F9" s="85"/>
      <c r="G9" s="85"/>
      <c r="H9" s="85"/>
      <c r="I9" s="85"/>
      <c r="J9" s="85"/>
      <c r="K9" s="85"/>
      <c r="L9" s="20"/>
    </row>
    <row r="10" spans="1:30" ht="14.25" x14ac:dyDescent="0.2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</row>
    <row r="11" spans="1:30" ht="78" customHeight="1" x14ac:dyDescent="0.25">
      <c r="A11" s="14"/>
      <c r="B11" s="86" t="s">
        <v>369</v>
      </c>
      <c r="C11" s="86"/>
      <c r="D11" s="86"/>
      <c r="E11" s="86"/>
      <c r="F11" s="86"/>
      <c r="G11" s="86"/>
      <c r="H11" s="86"/>
      <c r="I11" s="86"/>
      <c r="J11" s="86"/>
      <c r="K11" s="86"/>
      <c r="L11" s="21"/>
      <c r="AD11" s="58" t="str">
        <f>IF(Source!G12&lt;&gt;"Новый объект", Source!G12, "")</f>
        <v>Капитальный ремонт окооных проемов общежития ДИТИ НИЯУ МИФИ_цена поставщика</v>
      </c>
    </row>
    <row r="12" spans="1:30" ht="14.25" x14ac:dyDescent="0.2">
      <c r="A12" s="14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19"/>
    </row>
    <row r="13" spans="1:30" ht="14.25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0" ht="14.25" x14ac:dyDescent="0.2">
      <c r="A14" s="14"/>
      <c r="B14" s="14"/>
      <c r="C14" s="14"/>
      <c r="D14" s="14"/>
      <c r="E14" s="22"/>
      <c r="F14" s="22"/>
      <c r="G14" s="88" t="s">
        <v>277</v>
      </c>
      <c r="H14" s="88"/>
      <c r="I14" s="88" t="s">
        <v>278</v>
      </c>
      <c r="J14" s="88"/>
      <c r="K14" s="14"/>
      <c r="L14" s="14"/>
    </row>
    <row r="15" spans="1:30" ht="15" x14ac:dyDescent="0.25">
      <c r="A15" s="14"/>
      <c r="B15" s="14"/>
      <c r="C15" s="79" t="s">
        <v>279</v>
      </c>
      <c r="D15" s="79"/>
      <c r="E15" s="79"/>
      <c r="F15" s="79"/>
      <c r="G15" s="80">
        <f>SUM(O1:O88)/1000</f>
        <v>148.5257</v>
      </c>
      <c r="H15" s="80"/>
      <c r="I15" s="80">
        <f>(Source!P119/1000)</f>
        <v>1151.7412899999999</v>
      </c>
      <c r="J15" s="80"/>
      <c r="K15" s="81" t="s">
        <v>280</v>
      </c>
      <c r="L15" s="81"/>
    </row>
    <row r="16" spans="1:30" ht="14.25" x14ac:dyDescent="0.2">
      <c r="A16" s="14"/>
      <c r="B16" s="14"/>
      <c r="C16" s="84" t="s">
        <v>281</v>
      </c>
      <c r="D16" s="84"/>
      <c r="E16" s="84"/>
      <c r="F16" s="84"/>
      <c r="G16" s="80">
        <f>SUM(W1:W88)/1000</f>
        <v>148.5257</v>
      </c>
      <c r="H16" s="80"/>
      <c r="I16" s="80">
        <f>(Source!P106)/1000</f>
        <v>976.05193999999995</v>
      </c>
      <c r="J16" s="80"/>
      <c r="K16" s="81" t="s">
        <v>280</v>
      </c>
      <c r="L16" s="81"/>
    </row>
    <row r="17" spans="1:22" ht="15" x14ac:dyDescent="0.25">
      <c r="A17" s="14"/>
      <c r="B17" s="14"/>
      <c r="C17" s="79" t="s">
        <v>282</v>
      </c>
      <c r="D17" s="79"/>
      <c r="E17" s="79"/>
      <c r="F17" s="79"/>
      <c r="G17" s="80">
        <f>I17</f>
        <v>882.85721599999999</v>
      </c>
      <c r="H17" s="80"/>
      <c r="I17" s="80">
        <f>(Source!P111+Source!P112)</f>
        <v>882.85721599999999</v>
      </c>
      <c r="J17" s="80"/>
      <c r="K17" s="81" t="s">
        <v>283</v>
      </c>
      <c r="L17" s="81"/>
    </row>
    <row r="18" spans="1:22" ht="15" x14ac:dyDescent="0.25">
      <c r="A18" s="14"/>
      <c r="B18" s="14"/>
      <c r="C18" s="79" t="s">
        <v>284</v>
      </c>
      <c r="D18" s="79"/>
      <c r="E18" s="79"/>
      <c r="F18" s="79"/>
      <c r="G18" s="80">
        <f>SUM(R1:R88)/1000</f>
        <v>7.6980399999999998</v>
      </c>
      <c r="H18" s="80"/>
      <c r="I18" s="80">
        <f>((Source!P104 + Source!P103)/1000)</f>
        <v>50.576130000000006</v>
      </c>
      <c r="J18" s="80"/>
      <c r="K18" s="81" t="s">
        <v>280</v>
      </c>
      <c r="L18" s="81"/>
    </row>
    <row r="19" spans="1:22" ht="14.25" x14ac:dyDescent="0.2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22" ht="14.25" x14ac:dyDescent="0.2">
      <c r="A20" s="82" t="s">
        <v>297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</row>
    <row r="21" spans="1:22" ht="57" x14ac:dyDescent="0.2">
      <c r="A21" s="23" t="s">
        <v>285</v>
      </c>
      <c r="B21" s="23" t="s">
        <v>286</v>
      </c>
      <c r="C21" s="23" t="s">
        <v>287</v>
      </c>
      <c r="D21" s="23" t="s">
        <v>288</v>
      </c>
      <c r="E21" s="23" t="s">
        <v>289</v>
      </c>
      <c r="F21" s="23" t="s">
        <v>290</v>
      </c>
      <c r="G21" s="23" t="s">
        <v>291</v>
      </c>
      <c r="H21" s="23" t="s">
        <v>292</v>
      </c>
      <c r="I21" s="23" t="s">
        <v>293</v>
      </c>
      <c r="J21" s="23" t="s">
        <v>294</v>
      </c>
      <c r="K21" s="23" t="s">
        <v>295</v>
      </c>
      <c r="L21" s="23" t="s">
        <v>296</v>
      </c>
    </row>
    <row r="22" spans="1:22" ht="14.25" x14ac:dyDescent="0.2">
      <c r="A22" s="24">
        <v>1</v>
      </c>
      <c r="B22" s="24">
        <v>2</v>
      </c>
      <c r="C22" s="24">
        <v>3</v>
      </c>
      <c r="D22" s="24">
        <v>4</v>
      </c>
      <c r="E22" s="24">
        <v>5</v>
      </c>
      <c r="F22" s="24">
        <v>6</v>
      </c>
      <c r="G22" s="24">
        <v>7</v>
      </c>
      <c r="H22" s="24">
        <v>8</v>
      </c>
      <c r="I22" s="24">
        <v>9</v>
      </c>
      <c r="J22" s="24">
        <v>10</v>
      </c>
      <c r="K22" s="24">
        <v>11</v>
      </c>
      <c r="L22" s="25">
        <v>12</v>
      </c>
    </row>
    <row r="24" spans="1:22" ht="16.5" x14ac:dyDescent="0.25">
      <c r="A24" s="75" t="str">
        <f>CONCATENATE("Локальная смета: ",IF(Source!G20&lt;&gt;"Новая локальная смета", Source!G20, ""))</f>
        <v xml:space="preserve">Локальная смета: 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</row>
    <row r="25" spans="1:22" ht="42.75" x14ac:dyDescent="0.2">
      <c r="A25" s="53" t="str">
        <f>Source!E25</f>
        <v>1</v>
      </c>
      <c r="B25" s="54" t="str">
        <f>Source!F25</f>
        <v>46-04-012-01</v>
      </c>
      <c r="C25" s="54" t="str">
        <f>Source!G25</f>
        <v>Разборка деревянных заполнений проемов оконных с подоконными досками</v>
      </c>
      <c r="D25" s="35" t="str">
        <f>Source!H25</f>
        <v>100 м2</v>
      </c>
      <c r="E25" s="13">
        <f>Source!I25</f>
        <v>1.6128</v>
      </c>
      <c r="F25" s="36">
        <f>Source!AL25+Source!AM25+Source!AO25</f>
        <v>1767.24</v>
      </c>
      <c r="G25" s="37"/>
      <c r="H25" s="38"/>
      <c r="I25" s="37" t="str">
        <f>Source!BO25</f>
        <v/>
      </c>
      <c r="J25" s="37"/>
      <c r="K25" s="38"/>
      <c r="L25" s="39"/>
      <c r="S25">
        <f>ROUND((Source!FX25/100)*((ROUND(Source!AF25*Source!I25, 2)+ROUND(Source!AE25*Source!I25, 2))), 2)</f>
        <v>2602.2199999999998</v>
      </c>
      <c r="T25">
        <f>Source!X25</f>
        <v>17096.62</v>
      </c>
      <c r="U25">
        <f>ROUND((Source!FY25/100)*((ROUND(Source!AF25*Source!I25, 2)+ROUND(Source!AE25*Source!I25, 2))), 2)</f>
        <v>1563.96</v>
      </c>
      <c r="V25">
        <f>Source!Y25</f>
        <v>10361.59</v>
      </c>
    </row>
    <row r="26" spans="1:22" x14ac:dyDescent="0.2">
      <c r="C26" s="28" t="str">
        <f>"Объем: "&amp;Source!I25&amp;"=161,28/"&amp;"100"</f>
        <v>Объем: 1,6128=161,28/100</v>
      </c>
    </row>
    <row r="27" spans="1:22" ht="14.25" x14ac:dyDescent="0.2">
      <c r="A27" s="53"/>
      <c r="B27" s="54"/>
      <c r="C27" s="54" t="s">
        <v>298</v>
      </c>
      <c r="D27" s="35"/>
      <c r="E27" s="13"/>
      <c r="F27" s="36">
        <f>Source!AO25</f>
        <v>1525.29</v>
      </c>
      <c r="G27" s="37" t="str">
        <f>Source!DG25</f>
        <v/>
      </c>
      <c r="H27" s="38">
        <f>ROUND(Source!AF25*Source!I25, 2)</f>
        <v>2459.9899999999998</v>
      </c>
      <c r="I27" s="37"/>
      <c r="J27" s="37">
        <f>IF(Source!BA25&lt;&gt; 0, Source!BA25, 1)</f>
        <v>6.57</v>
      </c>
      <c r="K27" s="38">
        <f>Source!S25</f>
        <v>16162.12</v>
      </c>
      <c r="L27" s="39"/>
      <c r="R27">
        <f>H27</f>
        <v>2459.9899999999998</v>
      </c>
    </row>
    <row r="28" spans="1:22" ht="14.25" x14ac:dyDescent="0.2">
      <c r="A28" s="53"/>
      <c r="B28" s="54"/>
      <c r="C28" s="54" t="s">
        <v>120</v>
      </c>
      <c r="D28" s="35"/>
      <c r="E28" s="13"/>
      <c r="F28" s="36">
        <f>Source!AM25</f>
        <v>241.95</v>
      </c>
      <c r="G28" s="37" t="str">
        <f>Source!DE25</f>
        <v/>
      </c>
      <c r="H28" s="38">
        <f>ROUND(Source!AD25*Source!I25, 2)</f>
        <v>390.22</v>
      </c>
      <c r="I28" s="37"/>
      <c r="J28" s="37">
        <f>IF(Source!BB25&lt;&gt; 0, Source!BB25, 1)</f>
        <v>6.57</v>
      </c>
      <c r="K28" s="38">
        <f>Source!Q25</f>
        <v>2563.73</v>
      </c>
      <c r="L28" s="39"/>
    </row>
    <row r="29" spans="1:22" ht="14.25" x14ac:dyDescent="0.2">
      <c r="A29" s="53"/>
      <c r="B29" s="54"/>
      <c r="C29" s="54" t="s">
        <v>299</v>
      </c>
      <c r="D29" s="35"/>
      <c r="E29" s="13"/>
      <c r="F29" s="36">
        <f>Source!AN25</f>
        <v>104.49</v>
      </c>
      <c r="G29" s="37" t="str">
        <f>Source!DF25</f>
        <v/>
      </c>
      <c r="H29" s="40">
        <f>ROUND(Source!AE25*Source!I25, 2)</f>
        <v>168.52</v>
      </c>
      <c r="I29" s="37"/>
      <c r="J29" s="37">
        <f>IF(Source!BS25&lt;&gt; 0, Source!BS25, 1)</f>
        <v>6.57</v>
      </c>
      <c r="K29" s="40">
        <f>Source!R25</f>
        <v>1107.19</v>
      </c>
      <c r="L29" s="39"/>
      <c r="R29">
        <f>H29</f>
        <v>168.52</v>
      </c>
    </row>
    <row r="30" spans="1:22" ht="14.25" x14ac:dyDescent="0.2">
      <c r="A30" s="53"/>
      <c r="B30" s="54"/>
      <c r="C30" s="54" t="s">
        <v>300</v>
      </c>
      <c r="D30" s="35" t="s">
        <v>301</v>
      </c>
      <c r="E30" s="13">
        <f>Source!BZ25</f>
        <v>110</v>
      </c>
      <c r="F30" s="73" t="str">
        <f>CONCATENATE(" )", Source!DL25, Source!FT25, "=", Source!FX25)</f>
        <v xml:space="preserve"> )*0,9=99</v>
      </c>
      <c r="G30" s="74"/>
      <c r="H30" s="38">
        <f>SUM(S25:S32)</f>
        <v>2602.2199999999998</v>
      </c>
      <c r="I30" s="41"/>
      <c r="J30" s="33">
        <f>Source!AT25</f>
        <v>99</v>
      </c>
      <c r="K30" s="38">
        <f>SUM(T25:T32)</f>
        <v>17096.62</v>
      </c>
      <c r="L30" s="39"/>
    </row>
    <row r="31" spans="1:22" ht="14.25" x14ac:dyDescent="0.2">
      <c r="A31" s="53"/>
      <c r="B31" s="54"/>
      <c r="C31" s="54" t="s">
        <v>302</v>
      </c>
      <c r="D31" s="35" t="s">
        <v>301</v>
      </c>
      <c r="E31" s="13">
        <f>Source!CA25</f>
        <v>70</v>
      </c>
      <c r="F31" s="73" t="str">
        <f>CONCATENATE(" )", Source!DM25, Source!FU25, "=", Source!FY25)</f>
        <v xml:space="preserve"> )*0,85=59,5</v>
      </c>
      <c r="G31" s="74"/>
      <c r="H31" s="38">
        <f>SUM(U25:U32)</f>
        <v>1563.96</v>
      </c>
      <c r="I31" s="41"/>
      <c r="J31" s="33">
        <f>Source!AU25</f>
        <v>60</v>
      </c>
      <c r="K31" s="38">
        <f>SUM(V25:V32)</f>
        <v>10361.59</v>
      </c>
      <c r="L31" s="39"/>
    </row>
    <row r="32" spans="1:22" ht="14.25" x14ac:dyDescent="0.2">
      <c r="A32" s="55"/>
      <c r="B32" s="56"/>
      <c r="C32" s="56" t="s">
        <v>303</v>
      </c>
      <c r="D32" s="42" t="s">
        <v>304</v>
      </c>
      <c r="E32" s="43">
        <f>Source!AQ25</f>
        <v>188.54</v>
      </c>
      <c r="F32" s="44"/>
      <c r="G32" s="45" t="str">
        <f>Source!DI25</f>
        <v/>
      </c>
      <c r="H32" s="46"/>
      <c r="I32" s="45"/>
      <c r="J32" s="45"/>
      <c r="K32" s="46"/>
      <c r="L32" s="47">
        <f>Source!U25</f>
        <v>304.07731200000001</v>
      </c>
    </row>
    <row r="33" spans="1:26" ht="15" x14ac:dyDescent="0.25">
      <c r="G33" s="77">
        <f>H27+H28+H30+H31</f>
        <v>7016.39</v>
      </c>
      <c r="H33" s="77"/>
      <c r="J33" s="77">
        <f>K27+K28+K30+K31</f>
        <v>46184.06</v>
      </c>
      <c r="K33" s="77"/>
      <c r="L33" s="48">
        <f>Source!U25</f>
        <v>304.07731200000001</v>
      </c>
      <c r="O33" s="29">
        <f>G33</f>
        <v>7016.39</v>
      </c>
      <c r="P33" s="29">
        <f>J33</f>
        <v>46184.06</v>
      </c>
      <c r="Q33" s="29">
        <f>L33</f>
        <v>304.07731200000001</v>
      </c>
      <c r="W33">
        <f>IF(Source!BI25&lt;=1,H27+H28+H30+H31, 0)</f>
        <v>7016.39</v>
      </c>
      <c r="X33">
        <f>IF(Source!BI25=2,H27+H28+H30+H31, 0)</f>
        <v>0</v>
      </c>
      <c r="Y33">
        <f>IF(Source!BI25=3,H27+H28+H30+H31, 0)</f>
        <v>0</v>
      </c>
      <c r="Z33">
        <f>IF(Source!BI25=4,H27+H28+H30+H31, 0)</f>
        <v>0</v>
      </c>
    </row>
    <row r="34" spans="1:26" ht="99.75" x14ac:dyDescent="0.2">
      <c r="A34" s="53" t="str">
        <f>Source!E27</f>
        <v>2</v>
      </c>
      <c r="B34" s="54" t="str">
        <f>Source!F27</f>
        <v>10-01-034-08</v>
      </c>
      <c r="C34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4" s="35" t="str">
        <f>Source!H27</f>
        <v>100 м2</v>
      </c>
      <c r="E34" s="13">
        <f>Source!I27</f>
        <v>1.6128</v>
      </c>
      <c r="F34" s="36">
        <f>Source!AL27+Source!AM27+Source!AO27</f>
        <v>10107.89</v>
      </c>
      <c r="G34" s="37"/>
      <c r="H34" s="38"/>
      <c r="I34" s="37" t="str">
        <f>Source!BO27</f>
        <v/>
      </c>
      <c r="J34" s="37"/>
      <c r="K34" s="38"/>
      <c r="L34" s="39"/>
      <c r="S34">
        <f>ROUND((Source!FX27/100)*((ROUND(Source!AF27*Source!I27, 2)+ROUND(Source!AE27*Source!I27, 2))), 2)</f>
        <v>2319.09</v>
      </c>
      <c r="T34">
        <f>Source!X27</f>
        <v>15207.72</v>
      </c>
      <c r="U34">
        <f>ROUND((Source!FY27/100)*((ROUND(Source!AF27*Source!I27, 2)+ROUND(Source!AE27*Source!I27, 2))), 2)</f>
        <v>1169.3699999999999</v>
      </c>
      <c r="V34">
        <f>Source!Y27</f>
        <v>7747.33</v>
      </c>
    </row>
    <row r="35" spans="1:26" x14ac:dyDescent="0.2">
      <c r="C35" s="28" t="str">
        <f>"Объем: "&amp;Source!I27&amp;"=161,28/"&amp;"100"</f>
        <v>Объем: 1,6128=161,28/100</v>
      </c>
    </row>
    <row r="36" spans="1:26" ht="14.25" x14ac:dyDescent="0.2">
      <c r="A36" s="53"/>
      <c r="B36" s="54"/>
      <c r="C36" s="54" t="s">
        <v>298</v>
      </c>
      <c r="D36" s="35"/>
      <c r="E36" s="13"/>
      <c r="F36" s="36">
        <f>Source!AO27</f>
        <v>1303.6600000000001</v>
      </c>
      <c r="G36" s="37" t="str">
        <f>Source!DG27</f>
        <v/>
      </c>
      <c r="H36" s="38">
        <f>ROUND(Source!AF27*Source!I27, 2)</f>
        <v>2102.54</v>
      </c>
      <c r="I36" s="37"/>
      <c r="J36" s="37">
        <f>IF(Source!BA27&lt;&gt; 0, Source!BA27, 1)</f>
        <v>6.57</v>
      </c>
      <c r="K36" s="38">
        <f>Source!S27</f>
        <v>13813.71</v>
      </c>
      <c r="L36" s="39"/>
      <c r="R36">
        <f>H36</f>
        <v>2102.54</v>
      </c>
    </row>
    <row r="37" spans="1:26" ht="14.25" x14ac:dyDescent="0.2">
      <c r="A37" s="53"/>
      <c r="B37" s="54"/>
      <c r="C37" s="54" t="s">
        <v>120</v>
      </c>
      <c r="D37" s="35"/>
      <c r="E37" s="13"/>
      <c r="F37" s="36">
        <f>Source!AM27</f>
        <v>255.21</v>
      </c>
      <c r="G37" s="37" t="str">
        <f>Source!DE27</f>
        <v/>
      </c>
      <c r="H37" s="38">
        <f>ROUND(Source!AD27*Source!I27, 2)</f>
        <v>411.6</v>
      </c>
      <c r="I37" s="37"/>
      <c r="J37" s="37">
        <f>IF(Source!BB27&lt;&gt; 0, Source!BB27, 1)</f>
        <v>6.57</v>
      </c>
      <c r="K37" s="38">
        <f>Source!Q27</f>
        <v>2704.23</v>
      </c>
      <c r="L37" s="39"/>
    </row>
    <row r="38" spans="1:26" ht="14.25" x14ac:dyDescent="0.2">
      <c r="A38" s="53"/>
      <c r="B38" s="54"/>
      <c r="C38" s="54" t="s">
        <v>299</v>
      </c>
      <c r="D38" s="35"/>
      <c r="E38" s="13"/>
      <c r="F38" s="36">
        <f>Source!AN27</f>
        <v>50.32</v>
      </c>
      <c r="G38" s="37" t="str">
        <f>Source!DF27</f>
        <v/>
      </c>
      <c r="H38" s="40">
        <f>ROUND(Source!AE27*Source!I27, 2)</f>
        <v>81.16</v>
      </c>
      <c r="I38" s="37"/>
      <c r="J38" s="37">
        <f>IF(Source!BS27&lt;&gt; 0, Source!BS27, 1)</f>
        <v>6.57</v>
      </c>
      <c r="K38" s="40">
        <f>Source!R27</f>
        <v>533.20000000000005</v>
      </c>
      <c r="L38" s="39"/>
      <c r="R38">
        <f>H38</f>
        <v>81.16</v>
      </c>
    </row>
    <row r="39" spans="1:26" ht="14.25" x14ac:dyDescent="0.2">
      <c r="A39" s="53"/>
      <c r="B39" s="54"/>
      <c r="C39" s="54" t="s">
        <v>305</v>
      </c>
      <c r="D39" s="35"/>
      <c r="E39" s="13"/>
      <c r="F39" s="36">
        <f>Source!AL27</f>
        <v>8549.02</v>
      </c>
      <c r="G39" s="37" t="str">
        <f>Source!DD27</f>
        <v/>
      </c>
      <c r="H39" s="38">
        <f>ROUND(Source!AC27*Source!I27, 2)</f>
        <v>13787.86</v>
      </c>
      <c r="I39" s="37"/>
      <c r="J39" s="37">
        <f>IF(Source!BC27&lt;&gt; 0, Source!BC27, 1)</f>
        <v>6.57</v>
      </c>
      <c r="K39" s="38">
        <f>Source!P27</f>
        <v>90586.240000000005</v>
      </c>
      <c r="L39" s="39"/>
    </row>
    <row r="40" spans="1:26" ht="14.25" x14ac:dyDescent="0.2">
      <c r="A40" s="53"/>
      <c r="B40" s="54"/>
      <c r="C40" s="54" t="s">
        <v>300</v>
      </c>
      <c r="D40" s="35" t="s">
        <v>301</v>
      </c>
      <c r="E40" s="13">
        <f>Source!BZ27</f>
        <v>118</v>
      </c>
      <c r="F40" s="73" t="str">
        <f>CONCATENATE(" )", Source!DL27, Source!FT27, "=", Source!FX27)</f>
        <v xml:space="preserve"> )*0,9=106,2</v>
      </c>
      <c r="G40" s="74"/>
      <c r="H40" s="38">
        <f>SUM(S34:S43)</f>
        <v>2319.09</v>
      </c>
      <c r="I40" s="41"/>
      <c r="J40" s="33">
        <f>Source!AT27</f>
        <v>106</v>
      </c>
      <c r="K40" s="38">
        <f>SUM(T34:T43)</f>
        <v>15207.72</v>
      </c>
      <c r="L40" s="39"/>
    </row>
    <row r="41" spans="1:26" ht="14.25" x14ac:dyDescent="0.2">
      <c r="A41" s="53"/>
      <c r="B41" s="54"/>
      <c r="C41" s="54" t="s">
        <v>302</v>
      </c>
      <c r="D41" s="35" t="s">
        <v>301</v>
      </c>
      <c r="E41" s="13">
        <f>Source!CA27</f>
        <v>63</v>
      </c>
      <c r="F41" s="73" t="str">
        <f>CONCATENATE(" )", Source!DM27, Source!FU27, "=", Source!FY27)</f>
        <v xml:space="preserve"> )*0,85=53,55</v>
      </c>
      <c r="G41" s="74"/>
      <c r="H41" s="38">
        <f>SUM(U34:U43)</f>
        <v>1169.3699999999999</v>
      </c>
      <c r="I41" s="41"/>
      <c r="J41" s="33">
        <f>Source!AU27</f>
        <v>54</v>
      </c>
      <c r="K41" s="38">
        <f>SUM(V34:V43)</f>
        <v>7747.33</v>
      </c>
      <c r="L41" s="39"/>
    </row>
    <row r="42" spans="1:26" ht="14.25" x14ac:dyDescent="0.2">
      <c r="A42" s="53"/>
      <c r="B42" s="54"/>
      <c r="C42" s="54" t="s">
        <v>303</v>
      </c>
      <c r="D42" s="35" t="s">
        <v>304</v>
      </c>
      <c r="E42" s="13">
        <f>Source!AQ27</f>
        <v>149.16</v>
      </c>
      <c r="F42" s="36"/>
      <c r="G42" s="37" t="str">
        <f>Source!DI27</f>
        <v/>
      </c>
      <c r="H42" s="38"/>
      <c r="I42" s="37"/>
      <c r="J42" s="37"/>
      <c r="K42" s="38"/>
      <c r="L42" s="49">
        <f>Source!U27</f>
        <v>240.565248</v>
      </c>
    </row>
    <row r="43" spans="1:26" ht="42.75" x14ac:dyDescent="0.2">
      <c r="A43" s="55" t="str">
        <f>Source!E29</f>
        <v>2,1</v>
      </c>
      <c r="B43" s="56" t="str">
        <f>Source!F29</f>
        <v>Цена поставщика</v>
      </c>
      <c r="C43" s="56" t="s">
        <v>306</v>
      </c>
      <c r="D43" s="42" t="str">
        <f>Source!H29</f>
        <v>м2</v>
      </c>
      <c r="E43" s="43">
        <f>Source!I29</f>
        <v>161.28</v>
      </c>
      <c r="F43" s="44">
        <f>Source!AL29+Source!AM29+Source!AO29</f>
        <v>446.07</v>
      </c>
      <c r="G43" s="50" t="s">
        <v>6</v>
      </c>
      <c r="H43" s="46">
        <f>ROUND(Source!AC29*Source!I29, 2)+ROUND(Source!AD29*Source!I29, 2)+ROUND(Source!AF29*Source!I29, 2)</f>
        <v>71942.17</v>
      </c>
      <c r="I43" s="45"/>
      <c r="J43" s="45">
        <f>IF(Source!BC29&lt;&gt; 0, Source!BC29, 1)</f>
        <v>6.57</v>
      </c>
      <c r="K43" s="46">
        <f>Source!O29</f>
        <v>472660.05</v>
      </c>
      <c r="L43" s="51"/>
      <c r="S43">
        <f>ROUND((Source!FX29/100)*((ROUND(Source!AF29*Source!I29, 2)+ROUND(Source!AE29*Source!I29, 2))), 2)</f>
        <v>0</v>
      </c>
      <c r="T43">
        <f>Source!X29</f>
        <v>0</v>
      </c>
      <c r="U43">
        <f>ROUND((Source!FY29/100)*((ROUND(Source!AF29*Source!I29, 2)+ROUND(Source!AE29*Source!I29, 2))), 2)</f>
        <v>0</v>
      </c>
      <c r="V43">
        <f>Source!Y29</f>
        <v>0</v>
      </c>
      <c r="W43">
        <f>IF(Source!BI29&lt;=1,H43, 0)</f>
        <v>71942.17</v>
      </c>
      <c r="X43">
        <f>IF(Source!BI29=2,H43, 0)</f>
        <v>0</v>
      </c>
      <c r="Y43">
        <f>IF(Source!BI29=3,H43, 0)</f>
        <v>0</v>
      </c>
      <c r="Z43">
        <f>IF(Source!BI29=4,H43, 0)</f>
        <v>0</v>
      </c>
    </row>
    <row r="44" spans="1:26" ht="15" x14ac:dyDescent="0.25">
      <c r="G44" s="77">
        <f>H36+H37+H39+H40+H41+SUM(H43:H43)</f>
        <v>91732.63</v>
      </c>
      <c r="H44" s="77"/>
      <c r="J44" s="77">
        <f>K36+K37+K39+K40+K41+SUM(K43:K43)</f>
        <v>602719.28</v>
      </c>
      <c r="K44" s="77"/>
      <c r="L44" s="48">
        <f>Source!U27</f>
        <v>240.565248</v>
      </c>
      <c r="O44" s="29">
        <f>G44</f>
        <v>91732.63</v>
      </c>
      <c r="P44" s="29">
        <f>J44</f>
        <v>602719.28</v>
      </c>
      <c r="Q44" s="29">
        <f>L44</f>
        <v>240.565248</v>
      </c>
      <c r="W44">
        <f>IF(Source!BI27&lt;=1,H36+H37+H39+H40+H41, 0)</f>
        <v>19790.46</v>
      </c>
      <c r="X44">
        <f>IF(Source!BI27=2,H36+H37+H39+H40+H41, 0)</f>
        <v>0</v>
      </c>
      <c r="Y44">
        <f>IF(Source!BI27=3,H36+H37+H39+H40+H41, 0)</f>
        <v>0</v>
      </c>
      <c r="Z44">
        <f>IF(Source!BI27=4,H36+H37+H39+H40+H41, 0)</f>
        <v>0</v>
      </c>
    </row>
    <row r="45" spans="1:26" ht="42.75" x14ac:dyDescent="0.2">
      <c r="A45" s="53" t="str">
        <f>Source!E31</f>
        <v>3</v>
      </c>
      <c r="B45" s="54" t="str">
        <f>Source!F31</f>
        <v>10-01-035-03</v>
      </c>
      <c r="C45" s="54" t="str">
        <f>Source!G31</f>
        <v>Установка подоконных досок из ПВХ в каменных стенах толщиной свыше 0,51 м</v>
      </c>
      <c r="D45" s="35" t="str">
        <f>Source!H31</f>
        <v>100 м</v>
      </c>
      <c r="E45" s="13">
        <f>Source!I31</f>
        <v>1.1200000000000001</v>
      </c>
      <c r="F45" s="36">
        <f>Source!AL31+Source!AM31+Source!AO31</f>
        <v>6481.1699999999992</v>
      </c>
      <c r="G45" s="37"/>
      <c r="H45" s="38"/>
      <c r="I45" s="37" t="str">
        <f>Source!BO31</f>
        <v/>
      </c>
      <c r="J45" s="37"/>
      <c r="K45" s="38"/>
      <c r="L45" s="39"/>
      <c r="S45">
        <f>ROUND((Source!FX31/100)*((ROUND(Source!AF31*Source!I31, 2)+ROUND(Source!AE31*Source!I31, 2))), 2)</f>
        <v>222.18</v>
      </c>
      <c r="T45">
        <f>Source!X31</f>
        <v>1457.02</v>
      </c>
      <c r="U45">
        <f>ROUND((Source!FY31/100)*((ROUND(Source!AF31*Source!I31, 2)+ROUND(Source!AE31*Source!I31, 2))), 2)</f>
        <v>112.03</v>
      </c>
      <c r="V45">
        <f>Source!Y31</f>
        <v>742.26</v>
      </c>
    </row>
    <row r="46" spans="1:26" x14ac:dyDescent="0.2">
      <c r="C46" s="28" t="str">
        <f>"Объем: "&amp;Source!I31&amp;"=112/"&amp;"100"</f>
        <v>Объем: 1,12=112/100</v>
      </c>
    </row>
    <row r="47" spans="1:26" ht="14.25" x14ac:dyDescent="0.2">
      <c r="A47" s="53"/>
      <c r="B47" s="54"/>
      <c r="C47" s="54" t="s">
        <v>298</v>
      </c>
      <c r="D47" s="35"/>
      <c r="E47" s="13"/>
      <c r="F47" s="36">
        <f>Source!AO31</f>
        <v>182.37</v>
      </c>
      <c r="G47" s="37" t="str">
        <f>Source!DG31</f>
        <v/>
      </c>
      <c r="H47" s="38">
        <f>ROUND(Source!AF31*Source!I31, 2)</f>
        <v>204.25</v>
      </c>
      <c r="I47" s="37"/>
      <c r="J47" s="37">
        <f>IF(Source!BA31&lt;&gt; 0, Source!BA31, 1)</f>
        <v>6.57</v>
      </c>
      <c r="K47" s="38">
        <f>Source!S31</f>
        <v>1341.95</v>
      </c>
      <c r="L47" s="39"/>
      <c r="R47">
        <f>H47</f>
        <v>204.25</v>
      </c>
    </row>
    <row r="48" spans="1:26" ht="14.25" x14ac:dyDescent="0.2">
      <c r="A48" s="53"/>
      <c r="B48" s="54"/>
      <c r="C48" s="54" t="s">
        <v>120</v>
      </c>
      <c r="D48" s="35"/>
      <c r="E48" s="13"/>
      <c r="F48" s="36">
        <f>Source!AM31</f>
        <v>21.9</v>
      </c>
      <c r="G48" s="37" t="str">
        <f>Source!DE31</f>
        <v/>
      </c>
      <c r="H48" s="38">
        <f>ROUND(Source!AD31*Source!I31, 2)</f>
        <v>24.53</v>
      </c>
      <c r="I48" s="37"/>
      <c r="J48" s="37">
        <f>IF(Source!BB31&lt;&gt; 0, Source!BB31, 1)</f>
        <v>6.57</v>
      </c>
      <c r="K48" s="38">
        <f>Source!Q31</f>
        <v>161.15</v>
      </c>
      <c r="L48" s="39"/>
    </row>
    <row r="49" spans="1:26" ht="14.25" x14ac:dyDescent="0.2">
      <c r="A49" s="53"/>
      <c r="B49" s="54"/>
      <c r="C49" s="54" t="s">
        <v>299</v>
      </c>
      <c r="D49" s="35"/>
      <c r="E49" s="13"/>
      <c r="F49" s="36">
        <f>Source!AN31</f>
        <v>4.43</v>
      </c>
      <c r="G49" s="37" t="str">
        <f>Source!DF31</f>
        <v/>
      </c>
      <c r="H49" s="40">
        <f>ROUND(Source!AE31*Source!I31, 2)</f>
        <v>4.96</v>
      </c>
      <c r="I49" s="37"/>
      <c r="J49" s="37">
        <f>IF(Source!BS31&lt;&gt; 0, Source!BS31, 1)</f>
        <v>6.57</v>
      </c>
      <c r="K49" s="40">
        <f>Source!R31</f>
        <v>32.6</v>
      </c>
      <c r="L49" s="39"/>
      <c r="R49">
        <f>H49</f>
        <v>4.96</v>
      </c>
    </row>
    <row r="50" spans="1:26" ht="14.25" x14ac:dyDescent="0.2">
      <c r="A50" s="53"/>
      <c r="B50" s="54"/>
      <c r="C50" s="54" t="s">
        <v>305</v>
      </c>
      <c r="D50" s="35"/>
      <c r="E50" s="13"/>
      <c r="F50" s="36">
        <f>Source!AL31</f>
        <v>6276.9</v>
      </c>
      <c r="G50" s="37" t="str">
        <f>Source!DD31</f>
        <v/>
      </c>
      <c r="H50" s="38">
        <f>ROUND(Source!AC31*Source!I31, 2)</f>
        <v>7030.13</v>
      </c>
      <c r="I50" s="37"/>
      <c r="J50" s="37">
        <f>IF(Source!BC31&lt;&gt; 0, Source!BC31, 1)</f>
        <v>6.57</v>
      </c>
      <c r="K50" s="38">
        <f>Source!P31</f>
        <v>46187.94</v>
      </c>
      <c r="L50" s="39"/>
    </row>
    <row r="51" spans="1:26" ht="14.25" x14ac:dyDescent="0.2">
      <c r="A51" s="53"/>
      <c r="B51" s="54"/>
      <c r="C51" s="54" t="s">
        <v>300</v>
      </c>
      <c r="D51" s="35" t="s">
        <v>301</v>
      </c>
      <c r="E51" s="13">
        <f>Source!BZ31</f>
        <v>118</v>
      </c>
      <c r="F51" s="73" t="str">
        <f>CONCATENATE(" )", Source!DL31, Source!FT31, "=", Source!FX31)</f>
        <v xml:space="preserve"> )*0,9=106,2</v>
      </c>
      <c r="G51" s="74"/>
      <c r="H51" s="38">
        <f>SUM(S45:S54)</f>
        <v>222.18</v>
      </c>
      <c r="I51" s="41"/>
      <c r="J51" s="33">
        <f>Source!AT31</f>
        <v>106</v>
      </c>
      <c r="K51" s="38">
        <f>SUM(T45:T54)</f>
        <v>1457.02</v>
      </c>
      <c r="L51" s="39"/>
    </row>
    <row r="52" spans="1:26" ht="14.25" x14ac:dyDescent="0.2">
      <c r="A52" s="53"/>
      <c r="B52" s="54"/>
      <c r="C52" s="54" t="s">
        <v>302</v>
      </c>
      <c r="D52" s="35" t="s">
        <v>301</v>
      </c>
      <c r="E52" s="13">
        <f>Source!CA31</f>
        <v>63</v>
      </c>
      <c r="F52" s="73" t="str">
        <f>CONCATENATE(" )", Source!DM31, Source!FU31, "=", Source!FY31)</f>
        <v xml:space="preserve"> )*0,85=53,55</v>
      </c>
      <c r="G52" s="74"/>
      <c r="H52" s="38">
        <f>SUM(U45:U54)</f>
        <v>112.03</v>
      </c>
      <c r="I52" s="41"/>
      <c r="J52" s="33">
        <f>Source!AU31</f>
        <v>54</v>
      </c>
      <c r="K52" s="38">
        <f>SUM(V45:V54)</f>
        <v>742.26</v>
      </c>
      <c r="L52" s="39"/>
    </row>
    <row r="53" spans="1:26" ht="14.25" x14ac:dyDescent="0.2">
      <c r="A53" s="53"/>
      <c r="B53" s="54"/>
      <c r="C53" s="54" t="s">
        <v>303</v>
      </c>
      <c r="D53" s="35" t="s">
        <v>304</v>
      </c>
      <c r="E53" s="13">
        <f>Source!AQ31</f>
        <v>21.38</v>
      </c>
      <c r="F53" s="36"/>
      <c r="G53" s="37" t="str">
        <f>Source!DI31</f>
        <v/>
      </c>
      <c r="H53" s="38"/>
      <c r="I53" s="37"/>
      <c r="J53" s="37"/>
      <c r="K53" s="38"/>
      <c r="L53" s="49">
        <f>Source!U31</f>
        <v>23.945600000000002</v>
      </c>
    </row>
    <row r="54" spans="1:26" ht="42.75" x14ac:dyDescent="0.2">
      <c r="A54" s="55" t="str">
        <f>Source!E33</f>
        <v>3,1</v>
      </c>
      <c r="B54" s="56" t="str">
        <f>Source!F33</f>
        <v>Цена поставщика</v>
      </c>
      <c r="C54" s="56" t="s">
        <v>307</v>
      </c>
      <c r="D54" s="42" t="str">
        <f>Source!H33</f>
        <v>м</v>
      </c>
      <c r="E54" s="43">
        <f>Source!I33</f>
        <v>112</v>
      </c>
      <c r="F54" s="44">
        <f>Source!AL33+Source!AM33+Source!AO33</f>
        <v>232.01</v>
      </c>
      <c r="G54" s="50" t="s">
        <v>6</v>
      </c>
      <c r="H54" s="46">
        <f>ROUND(Source!AC33*Source!I33, 2)+ROUND(Source!AD33*Source!I33, 2)+ROUND(Source!AF33*Source!I33, 2)</f>
        <v>25985.119999999999</v>
      </c>
      <c r="I54" s="45"/>
      <c r="J54" s="45">
        <f>IF(Source!BC33&lt;&gt; 0, Source!BC33, 1)</f>
        <v>6.57</v>
      </c>
      <c r="K54" s="46">
        <f>Source!O33</f>
        <v>170722.24</v>
      </c>
      <c r="L54" s="51"/>
      <c r="S54">
        <f>ROUND((Source!FX33/100)*((ROUND(Source!AF33*Source!I33, 2)+ROUND(Source!AE33*Source!I33, 2))), 2)</f>
        <v>0</v>
      </c>
      <c r="T54">
        <f>Source!X33</f>
        <v>0</v>
      </c>
      <c r="U54">
        <f>ROUND((Source!FY33/100)*((ROUND(Source!AF33*Source!I33, 2)+ROUND(Source!AE33*Source!I33, 2))), 2)</f>
        <v>0</v>
      </c>
      <c r="V54">
        <f>Source!Y33</f>
        <v>0</v>
      </c>
      <c r="W54">
        <f>IF(Source!BI33&lt;=1,H54, 0)</f>
        <v>25985.119999999999</v>
      </c>
      <c r="X54">
        <f>IF(Source!BI33=2,H54, 0)</f>
        <v>0</v>
      </c>
      <c r="Y54">
        <f>IF(Source!BI33=3,H54, 0)</f>
        <v>0</v>
      </c>
      <c r="Z54">
        <f>IF(Source!BI33=4,H54, 0)</f>
        <v>0</v>
      </c>
    </row>
    <row r="55" spans="1:26" ht="15" x14ac:dyDescent="0.25">
      <c r="G55" s="77">
        <f>H47+H48+H50+H51+H52+SUM(H54:H54)</f>
        <v>33578.239999999998</v>
      </c>
      <c r="H55" s="77"/>
      <c r="J55" s="77">
        <f>K47+K48+K50+K51+K52+SUM(K54:K54)</f>
        <v>220612.56</v>
      </c>
      <c r="K55" s="77"/>
      <c r="L55" s="48">
        <f>Source!U31</f>
        <v>23.945600000000002</v>
      </c>
      <c r="O55" s="29">
        <f>G55</f>
        <v>33578.239999999998</v>
      </c>
      <c r="P55" s="29">
        <f>J55</f>
        <v>220612.56</v>
      </c>
      <c r="Q55" s="29">
        <f>L55</f>
        <v>23.945600000000002</v>
      </c>
      <c r="W55">
        <f>IF(Source!BI31&lt;=1,H47+H48+H50+H51+H52, 0)</f>
        <v>7593.12</v>
      </c>
      <c r="X55">
        <f>IF(Source!BI31=2,H47+H48+H50+H51+H52, 0)</f>
        <v>0</v>
      </c>
      <c r="Y55">
        <f>IF(Source!BI31=3,H47+H48+H50+H51+H52, 0)</f>
        <v>0</v>
      </c>
      <c r="Z55">
        <f>IF(Source!BI31=4,H47+H48+H50+H51+H52, 0)</f>
        <v>0</v>
      </c>
    </row>
    <row r="56" spans="1:26" ht="42.75" x14ac:dyDescent="0.2">
      <c r="A56" s="53" t="str">
        <f>Source!E35</f>
        <v>4</v>
      </c>
      <c r="B56" s="54" t="str">
        <f>Source!F35</f>
        <v>58-20-1</v>
      </c>
      <c r="C56" s="54" t="str">
        <f>Source!G35</f>
        <v>Смена обделок из листовой стали (поясков, сандриков, отливов, карнизов) шириной до 0,4 м</v>
      </c>
      <c r="D56" s="35" t="str">
        <f>Source!H35</f>
        <v>100 м</v>
      </c>
      <c r="E56" s="13">
        <f>Source!I35</f>
        <v>1.1200000000000001</v>
      </c>
      <c r="F56" s="36">
        <f>Source!AL35+Source!AM35+Source!AO35</f>
        <v>454.41</v>
      </c>
      <c r="G56" s="37"/>
      <c r="H56" s="38"/>
      <c r="I56" s="37" t="str">
        <f>Source!BO35</f>
        <v/>
      </c>
      <c r="J56" s="37"/>
      <c r="K56" s="38"/>
      <c r="L56" s="39"/>
      <c r="S56">
        <f>ROUND((Source!FX35/100)*((ROUND(Source!AF35*Source!I35, 2)+ROUND(Source!AE35*Source!I35, 2))), 2)</f>
        <v>329.79</v>
      </c>
      <c r="T56">
        <f>Source!X35</f>
        <v>2166.75</v>
      </c>
      <c r="U56">
        <f>ROUND((Source!FY35/100)*((ROUND(Source!AF35*Source!I35, 2)+ROUND(Source!AE35*Source!I35, 2))), 2)</f>
        <v>258.27</v>
      </c>
      <c r="V56">
        <f>Source!Y35</f>
        <v>1696.85</v>
      </c>
    </row>
    <row r="57" spans="1:26" x14ac:dyDescent="0.2">
      <c r="C57" s="28" t="str">
        <f>"Объем: "&amp;Source!I35&amp;"=112/"&amp;"100"</f>
        <v>Объем: 1,12=112/100</v>
      </c>
    </row>
    <row r="58" spans="1:26" ht="14.25" x14ac:dyDescent="0.2">
      <c r="A58" s="53"/>
      <c r="B58" s="54"/>
      <c r="C58" s="54" t="s">
        <v>298</v>
      </c>
      <c r="D58" s="35"/>
      <c r="E58" s="13"/>
      <c r="F58" s="36">
        <f>Source!AO35</f>
        <v>353.23</v>
      </c>
      <c r="G58" s="37" t="str">
        <f>Source!DG35</f>
        <v/>
      </c>
      <c r="H58" s="38">
        <f>ROUND(Source!AF35*Source!I35, 2)</f>
        <v>395.62</v>
      </c>
      <c r="I58" s="37"/>
      <c r="J58" s="37">
        <f>IF(Source!BA35&lt;&gt; 0, Source!BA35, 1)</f>
        <v>6.57</v>
      </c>
      <c r="K58" s="38">
        <f>Source!S35</f>
        <v>2599.21</v>
      </c>
      <c r="L58" s="39"/>
      <c r="R58">
        <f>H58</f>
        <v>395.62</v>
      </c>
    </row>
    <row r="59" spans="1:26" ht="14.25" x14ac:dyDescent="0.2">
      <c r="A59" s="53"/>
      <c r="B59" s="54"/>
      <c r="C59" s="54" t="s">
        <v>120</v>
      </c>
      <c r="D59" s="35"/>
      <c r="E59" s="13"/>
      <c r="F59" s="36">
        <f>Source!AM35</f>
        <v>5.13</v>
      </c>
      <c r="G59" s="37" t="str">
        <f>Source!DE35</f>
        <v/>
      </c>
      <c r="H59" s="38">
        <f>ROUND(Source!AD35*Source!I35, 2)</f>
        <v>5.75</v>
      </c>
      <c r="I59" s="37"/>
      <c r="J59" s="37">
        <f>IF(Source!BB35&lt;&gt; 0, Source!BB35, 1)</f>
        <v>6.57</v>
      </c>
      <c r="K59" s="38">
        <f>Source!Q35</f>
        <v>37.75</v>
      </c>
      <c r="L59" s="39"/>
    </row>
    <row r="60" spans="1:26" ht="14.25" x14ac:dyDescent="0.2">
      <c r="A60" s="53"/>
      <c r="B60" s="54"/>
      <c r="C60" s="54" t="s">
        <v>299</v>
      </c>
      <c r="D60" s="35"/>
      <c r="E60" s="13"/>
      <c r="F60" s="36">
        <f>Source!AN35</f>
        <v>1.54</v>
      </c>
      <c r="G60" s="37" t="str">
        <f>Source!DF35</f>
        <v/>
      </c>
      <c r="H60" s="40">
        <f>ROUND(Source!AE35*Source!I35, 2)</f>
        <v>1.72</v>
      </c>
      <c r="I60" s="37"/>
      <c r="J60" s="37">
        <f>IF(Source!BS35&lt;&gt; 0, Source!BS35, 1)</f>
        <v>6.57</v>
      </c>
      <c r="K60" s="40">
        <f>Source!R35</f>
        <v>11.33</v>
      </c>
      <c r="L60" s="39"/>
      <c r="R60">
        <f>H60</f>
        <v>1.72</v>
      </c>
    </row>
    <row r="61" spans="1:26" ht="14.25" x14ac:dyDescent="0.2">
      <c r="A61" s="53"/>
      <c r="B61" s="54"/>
      <c r="C61" s="54" t="s">
        <v>305</v>
      </c>
      <c r="D61" s="35"/>
      <c r="E61" s="13"/>
      <c r="F61" s="36">
        <f>Source!AL35</f>
        <v>96.05</v>
      </c>
      <c r="G61" s="37" t="str">
        <f>Source!DD35</f>
        <v/>
      </c>
      <c r="H61" s="38">
        <f>ROUND(Source!AC35*Source!I35, 2)</f>
        <v>107.58</v>
      </c>
      <c r="I61" s="37"/>
      <c r="J61" s="37">
        <f>IF(Source!BC35&lt;&gt; 0, Source!BC35, 1)</f>
        <v>6.57</v>
      </c>
      <c r="K61" s="38">
        <f>Source!P35</f>
        <v>706.77</v>
      </c>
      <c r="L61" s="39"/>
    </row>
    <row r="62" spans="1:26" ht="14.25" x14ac:dyDescent="0.2">
      <c r="A62" s="53"/>
      <c r="B62" s="54"/>
      <c r="C62" s="54" t="s">
        <v>300</v>
      </c>
      <c r="D62" s="35" t="s">
        <v>301</v>
      </c>
      <c r="E62" s="13">
        <f>Source!BZ35</f>
        <v>83</v>
      </c>
      <c r="F62" s="57"/>
      <c r="G62" s="37"/>
      <c r="H62" s="38">
        <f>SUM(S56:S65)</f>
        <v>329.79</v>
      </c>
      <c r="I62" s="41"/>
      <c r="J62" s="33">
        <f>Source!AT35</f>
        <v>83</v>
      </c>
      <c r="K62" s="38">
        <f>SUM(T56:T65)</f>
        <v>2166.75</v>
      </c>
      <c r="L62" s="39"/>
    </row>
    <row r="63" spans="1:26" ht="14.25" x14ac:dyDescent="0.2">
      <c r="A63" s="53"/>
      <c r="B63" s="54"/>
      <c r="C63" s="54" t="s">
        <v>302</v>
      </c>
      <c r="D63" s="35" t="s">
        <v>301</v>
      </c>
      <c r="E63" s="13">
        <f>Source!CA35</f>
        <v>65</v>
      </c>
      <c r="F63" s="57"/>
      <c r="G63" s="37"/>
      <c r="H63" s="38">
        <f>SUM(U56:U65)</f>
        <v>258.27</v>
      </c>
      <c r="I63" s="41"/>
      <c r="J63" s="33">
        <f>Source!AU35</f>
        <v>65</v>
      </c>
      <c r="K63" s="38">
        <f>SUM(V56:V65)</f>
        <v>1696.85</v>
      </c>
      <c r="L63" s="39"/>
    </row>
    <row r="64" spans="1:26" ht="14.25" x14ac:dyDescent="0.2">
      <c r="A64" s="53"/>
      <c r="B64" s="54"/>
      <c r="C64" s="54" t="s">
        <v>303</v>
      </c>
      <c r="D64" s="35" t="s">
        <v>304</v>
      </c>
      <c r="E64" s="13">
        <f>Source!AQ35</f>
        <v>41.41</v>
      </c>
      <c r="F64" s="36"/>
      <c r="G64" s="37" t="str">
        <f>Source!DI35</f>
        <v/>
      </c>
      <c r="H64" s="38"/>
      <c r="I64" s="37"/>
      <c r="J64" s="37"/>
      <c r="K64" s="38"/>
      <c r="L64" s="49">
        <f>Source!U35</f>
        <v>46.379199999999997</v>
      </c>
    </row>
    <row r="65" spans="1:26" ht="68.25" x14ac:dyDescent="0.2">
      <c r="A65" s="55" t="str">
        <f>Source!E37</f>
        <v>4,1</v>
      </c>
      <c r="B65" s="56" t="str">
        <f>Source!F37</f>
        <v>Цена поставщика</v>
      </c>
      <c r="C65" s="56" t="s">
        <v>308</v>
      </c>
      <c r="D65" s="42" t="str">
        <f>Source!H37</f>
        <v>м</v>
      </c>
      <c r="E65" s="43">
        <f>Source!I37</f>
        <v>112</v>
      </c>
      <c r="F65" s="44">
        <f>Source!AL37+Source!AM37+Source!AO37</f>
        <v>28.64</v>
      </c>
      <c r="G65" s="50" t="s">
        <v>6</v>
      </c>
      <c r="H65" s="46">
        <f>ROUND(Source!AC37*Source!I37, 2)+ROUND(Source!AD37*Source!I37, 2)+ROUND(Source!AF37*Source!I37, 2)</f>
        <v>3207.68</v>
      </c>
      <c r="I65" s="45"/>
      <c r="J65" s="45">
        <f>IF(Source!BC37&lt;&gt; 0, Source!BC37, 1)</f>
        <v>6.57</v>
      </c>
      <c r="K65" s="46">
        <f>Source!O37</f>
        <v>21074.46</v>
      </c>
      <c r="L65" s="51"/>
      <c r="S65">
        <f>ROUND((Source!FX37/100)*((ROUND(Source!AF37*Source!I37, 2)+ROUND(Source!AE37*Source!I37, 2))), 2)</f>
        <v>0</v>
      </c>
      <c r="T65">
        <f>Source!X37</f>
        <v>0</v>
      </c>
      <c r="U65">
        <f>ROUND((Source!FY37/100)*((ROUND(Source!AF37*Source!I37, 2)+ROUND(Source!AE37*Source!I37, 2))), 2)</f>
        <v>0</v>
      </c>
      <c r="V65">
        <f>Source!Y37</f>
        <v>0</v>
      </c>
      <c r="W65">
        <f>IF(Source!BI37&lt;=1,H65, 0)</f>
        <v>3207.68</v>
      </c>
      <c r="X65">
        <f>IF(Source!BI37=2,H65, 0)</f>
        <v>0</v>
      </c>
      <c r="Y65">
        <f>IF(Source!BI37=3,H65, 0)</f>
        <v>0</v>
      </c>
      <c r="Z65">
        <f>IF(Source!BI37=4,H65, 0)</f>
        <v>0</v>
      </c>
    </row>
    <row r="66" spans="1:26" ht="15" x14ac:dyDescent="0.25">
      <c r="G66" s="77">
        <f>H58+H59+H61+H62+H63+SUM(H65:H65)</f>
        <v>4304.6899999999996</v>
      </c>
      <c r="H66" s="77"/>
      <c r="J66" s="77">
        <f>K58+K59+K61+K62+K63+SUM(K65:K65)</f>
        <v>28281.79</v>
      </c>
      <c r="K66" s="77"/>
      <c r="L66" s="48">
        <f>Source!U35</f>
        <v>46.379199999999997</v>
      </c>
      <c r="O66" s="29">
        <f>G66</f>
        <v>4304.6899999999996</v>
      </c>
      <c r="P66" s="29">
        <f>J66</f>
        <v>28281.79</v>
      </c>
      <c r="Q66" s="29">
        <f>L66</f>
        <v>46.379199999999997</v>
      </c>
      <c r="W66">
        <f>IF(Source!BI35&lt;=1,H58+H59+H61+H62+H63, 0)</f>
        <v>1097.01</v>
      </c>
      <c r="X66">
        <f>IF(Source!BI35=2,H58+H59+H61+H62+H63, 0)</f>
        <v>0</v>
      </c>
      <c r="Y66">
        <f>IF(Source!BI35=3,H58+H59+H61+H62+H63, 0)</f>
        <v>0</v>
      </c>
      <c r="Z66">
        <f>IF(Source!BI35=4,H58+H59+H61+H62+H63, 0)</f>
        <v>0</v>
      </c>
    </row>
    <row r="67" spans="1:26" ht="57" x14ac:dyDescent="0.2">
      <c r="A67" s="53" t="str">
        <f>Source!E39</f>
        <v>5</v>
      </c>
      <c r="B67" s="54" t="str">
        <f>Source!F39</f>
        <v>15-01-050-04</v>
      </c>
      <c r="C67" s="54" t="str">
        <f>Source!G39</f>
        <v>Облицовка оконных и дверных откосов декоративным бумажно-слоистым пластиком или листами из синтетических материалов на клее</v>
      </c>
      <c r="D67" s="35" t="str">
        <f>Source!H39</f>
        <v>100 м2</v>
      </c>
      <c r="E67" s="13">
        <f>Source!I39</f>
        <v>1.4847999999999999</v>
      </c>
      <c r="F67" s="36">
        <f>Source!AL39+Source!AM39+Source!AO39</f>
        <v>1563.91</v>
      </c>
      <c r="G67" s="37"/>
      <c r="H67" s="38"/>
      <c r="I67" s="37" t="str">
        <f>Source!BO39</f>
        <v/>
      </c>
      <c r="J67" s="37"/>
      <c r="K67" s="38"/>
      <c r="L67" s="39"/>
      <c r="S67">
        <f>ROUND((Source!FX39/100)*((ROUND(Source!AF39*Source!I39, 2)+ROUND(Source!AE39*Source!I39, 2))), 2)</f>
        <v>2153.92</v>
      </c>
      <c r="T67">
        <f>Source!X39</f>
        <v>14226.08</v>
      </c>
      <c r="U67">
        <f>ROUND((Source!FY39/100)*((ROUND(Source!AF39*Source!I39, 2)+ROUND(Source!AE39*Source!I39, 2))), 2)</f>
        <v>1065.56</v>
      </c>
      <c r="V67">
        <f>Source!Y39</f>
        <v>7038.17</v>
      </c>
    </row>
    <row r="68" spans="1:26" x14ac:dyDescent="0.2">
      <c r="C68" s="28" t="str">
        <f>"Объем: "&amp;Source!I39&amp;"=148,48/"&amp;"100"</f>
        <v>Объем: 1,4848=148,48/100</v>
      </c>
    </row>
    <row r="69" spans="1:26" ht="14.25" x14ac:dyDescent="0.2">
      <c r="A69" s="53"/>
      <c r="B69" s="54"/>
      <c r="C69" s="54" t="s">
        <v>298</v>
      </c>
      <c r="D69" s="35"/>
      <c r="E69" s="13"/>
      <c r="F69" s="36">
        <f>Source!AO39</f>
        <v>1528.19</v>
      </c>
      <c r="G69" s="37" t="str">
        <f>Source!DG39</f>
        <v/>
      </c>
      <c r="H69" s="38">
        <f>ROUND(Source!AF39*Source!I39, 2)</f>
        <v>2269.06</v>
      </c>
      <c r="I69" s="37"/>
      <c r="J69" s="37">
        <f>IF(Source!BA39&lt;&gt; 0, Source!BA39, 1)</f>
        <v>6.57</v>
      </c>
      <c r="K69" s="38">
        <f>Source!S39</f>
        <v>14907.7</v>
      </c>
      <c r="L69" s="39"/>
      <c r="R69">
        <f>H69</f>
        <v>2269.06</v>
      </c>
    </row>
    <row r="70" spans="1:26" ht="14.25" x14ac:dyDescent="0.2">
      <c r="A70" s="53"/>
      <c r="B70" s="54"/>
      <c r="C70" s="54" t="s">
        <v>120</v>
      </c>
      <c r="D70" s="35"/>
      <c r="E70" s="13"/>
      <c r="F70" s="36">
        <f>Source!AM39</f>
        <v>35.36</v>
      </c>
      <c r="G70" s="37" t="str">
        <f>Source!DE39</f>
        <v/>
      </c>
      <c r="H70" s="38">
        <f>ROUND(Source!AD39*Source!I39, 2)</f>
        <v>52.5</v>
      </c>
      <c r="I70" s="37"/>
      <c r="J70" s="37">
        <f>IF(Source!BB39&lt;&gt; 0, Source!BB39, 1)</f>
        <v>6.57</v>
      </c>
      <c r="K70" s="38">
        <f>Source!Q39</f>
        <v>344.94</v>
      </c>
      <c r="L70" s="39"/>
    </row>
    <row r="71" spans="1:26" ht="14.25" x14ac:dyDescent="0.2">
      <c r="A71" s="53"/>
      <c r="B71" s="54"/>
      <c r="C71" s="54" t="s">
        <v>299</v>
      </c>
      <c r="D71" s="35"/>
      <c r="E71" s="13"/>
      <c r="F71" s="36">
        <f>Source!AN39</f>
        <v>6.88</v>
      </c>
      <c r="G71" s="37" t="str">
        <f>Source!DF39</f>
        <v/>
      </c>
      <c r="H71" s="40">
        <f>ROUND(Source!AE39*Source!I39, 2)</f>
        <v>10.220000000000001</v>
      </c>
      <c r="I71" s="37"/>
      <c r="J71" s="37">
        <f>IF(Source!BS39&lt;&gt; 0, Source!BS39, 1)</f>
        <v>6.57</v>
      </c>
      <c r="K71" s="40">
        <f>Source!R39</f>
        <v>67.12</v>
      </c>
      <c r="L71" s="39"/>
      <c r="R71">
        <f>H71</f>
        <v>10.220000000000001</v>
      </c>
    </row>
    <row r="72" spans="1:26" ht="14.25" x14ac:dyDescent="0.2">
      <c r="A72" s="53"/>
      <c r="B72" s="54"/>
      <c r="C72" s="54" t="s">
        <v>305</v>
      </c>
      <c r="D72" s="35"/>
      <c r="E72" s="13"/>
      <c r="F72" s="36">
        <f>Source!AL39</f>
        <v>0.36</v>
      </c>
      <c r="G72" s="37" t="str">
        <f>Source!DD39</f>
        <v/>
      </c>
      <c r="H72" s="38">
        <f>ROUND(Source!AC39*Source!I39, 2)</f>
        <v>0.53</v>
      </c>
      <c r="I72" s="37"/>
      <c r="J72" s="37">
        <f>IF(Source!BC39&lt;&gt; 0, Source!BC39, 1)</f>
        <v>6.57</v>
      </c>
      <c r="K72" s="38">
        <f>Source!P39</f>
        <v>3.51</v>
      </c>
      <c r="L72" s="39"/>
    </row>
    <row r="73" spans="1:26" ht="14.25" x14ac:dyDescent="0.2">
      <c r="A73" s="53"/>
      <c r="B73" s="54"/>
      <c r="C73" s="54" t="s">
        <v>300</v>
      </c>
      <c r="D73" s="35" t="s">
        <v>301</v>
      </c>
      <c r="E73" s="13">
        <f>Source!BZ39</f>
        <v>105</v>
      </c>
      <c r="F73" s="73" t="str">
        <f>CONCATENATE(" )", Source!DL39, Source!FT39, "=", Source!FX39)</f>
        <v xml:space="preserve"> )*0,9=94,5</v>
      </c>
      <c r="G73" s="74"/>
      <c r="H73" s="38">
        <f>SUM(S67:S81)</f>
        <v>2153.92</v>
      </c>
      <c r="I73" s="41"/>
      <c r="J73" s="33">
        <f>Source!AT39</f>
        <v>95</v>
      </c>
      <c r="K73" s="38">
        <f>SUM(T67:T81)</f>
        <v>14226.08</v>
      </c>
      <c r="L73" s="39"/>
    </row>
    <row r="74" spans="1:26" ht="14.25" x14ac:dyDescent="0.2">
      <c r="A74" s="53"/>
      <c r="B74" s="54"/>
      <c r="C74" s="54" t="s">
        <v>302</v>
      </c>
      <c r="D74" s="35" t="s">
        <v>301</v>
      </c>
      <c r="E74" s="13">
        <f>Source!CA39</f>
        <v>55</v>
      </c>
      <c r="F74" s="73" t="str">
        <f>CONCATENATE(" )", Source!DM39, Source!FU39, "=", Source!FY39)</f>
        <v xml:space="preserve"> )*0,85=46,75</v>
      </c>
      <c r="G74" s="74"/>
      <c r="H74" s="38">
        <f>SUM(U67:U81)</f>
        <v>1065.56</v>
      </c>
      <c r="I74" s="41"/>
      <c r="J74" s="33">
        <f>Source!AU39</f>
        <v>47</v>
      </c>
      <c r="K74" s="38">
        <f>SUM(V67:V81)</f>
        <v>7038.17</v>
      </c>
      <c r="L74" s="39"/>
    </row>
    <row r="75" spans="1:26" ht="14.25" x14ac:dyDescent="0.2">
      <c r="A75" s="53"/>
      <c r="B75" s="54"/>
      <c r="C75" s="54" t="s">
        <v>303</v>
      </c>
      <c r="D75" s="35" t="s">
        <v>304</v>
      </c>
      <c r="E75" s="13">
        <f>Source!AQ39</f>
        <v>166.47</v>
      </c>
      <c r="F75" s="36"/>
      <c r="G75" s="37" t="str">
        <f>Source!DI39</f>
        <v/>
      </c>
      <c r="H75" s="38"/>
      <c r="I75" s="37"/>
      <c r="J75" s="37"/>
      <c r="K75" s="38"/>
      <c r="L75" s="49">
        <f>Source!U39</f>
        <v>247.17465599999997</v>
      </c>
    </row>
    <row r="76" spans="1:26" ht="14.25" x14ac:dyDescent="0.2">
      <c r="A76" s="53" t="str">
        <f>Source!E41</f>
        <v>5,1</v>
      </c>
      <c r="B76" s="54" t="str">
        <f>Source!F41</f>
        <v>01.6.01.11</v>
      </c>
      <c r="C76" s="54" t="str">
        <f>Source!G41</f>
        <v>Листы облицовочные декоративные</v>
      </c>
      <c r="D76" s="35" t="str">
        <f>Source!H41</f>
        <v>м2</v>
      </c>
      <c r="E76" s="13">
        <f>Source!I41</f>
        <v>155.904</v>
      </c>
      <c r="F76" s="36">
        <f>Source!AL41+Source!AM41+Source!AO41</f>
        <v>0</v>
      </c>
      <c r="G76" s="52" t="s">
        <v>6</v>
      </c>
      <c r="H76" s="38">
        <f>ROUND(Source!AC41*Source!I41, 2)+ROUND(Source!AD41*Source!I41, 2)+ROUND(Source!AF41*Source!I41, 2)</f>
        <v>0</v>
      </c>
      <c r="I76" s="37"/>
      <c r="J76" s="37">
        <f>IF(Source!BC41&lt;&gt; 0, Source!BC41, 1)</f>
        <v>6.57</v>
      </c>
      <c r="K76" s="38">
        <f>Source!O41</f>
        <v>0</v>
      </c>
      <c r="L76" s="39"/>
      <c r="S76">
        <f>ROUND((Source!FX41/100)*((ROUND(Source!AF41*Source!I41, 2)+ROUND(Source!AE41*Source!I41, 2))), 2)</f>
        <v>0</v>
      </c>
      <c r="T76">
        <f>Source!X41</f>
        <v>0</v>
      </c>
      <c r="U76">
        <f>ROUND((Source!FY41/100)*((ROUND(Source!AF41*Source!I41, 2)+ROUND(Source!AE41*Source!I41, 2))), 2)</f>
        <v>0</v>
      </c>
      <c r="V76">
        <f>Source!Y41</f>
        <v>0</v>
      </c>
      <c r="W76">
        <f>IF(Source!BI41&lt;=1,H76, 0)</f>
        <v>0</v>
      </c>
      <c r="X76">
        <f>IF(Source!BI41=2,H76, 0)</f>
        <v>0</v>
      </c>
      <c r="Y76">
        <f>IF(Source!BI41=3,H76, 0)</f>
        <v>0</v>
      </c>
      <c r="Z76">
        <f>IF(Source!BI41=4,H76, 0)</f>
        <v>0</v>
      </c>
    </row>
    <row r="77" spans="1:26" ht="42.75" x14ac:dyDescent="0.2">
      <c r="A77" s="53" t="str">
        <f>Source!E43</f>
        <v>5,2</v>
      </c>
      <c r="B77" s="54" t="str">
        <f>Source!F43</f>
        <v>11.3.03.05-0001</v>
      </c>
      <c r="C77" s="54" t="str">
        <f>Source!G43</f>
        <v>Панели пластиковые для откосов "Реас Пласт" шириной 0,4 м, длиной 3,0 м, белые матовые, лакированные</v>
      </c>
      <c r="D77" s="35" t="str">
        <f>Source!H43</f>
        <v>м2</v>
      </c>
      <c r="E77" s="13">
        <f>Source!I43</f>
        <v>155.904</v>
      </c>
      <c r="F77" s="36">
        <f>Source!AL43+Source!AM43+Source!AO43</f>
        <v>34.380000000000003</v>
      </c>
      <c r="G77" s="52" t="s">
        <v>6</v>
      </c>
      <c r="H77" s="38">
        <f>ROUND(Source!AC43*Source!I43, 2)+ROUND(Source!AD43*Source!I43, 2)+ROUND(Source!AF43*Source!I43, 2)</f>
        <v>5359.98</v>
      </c>
      <c r="I77" s="37"/>
      <c r="J77" s="37">
        <f>IF(Source!BC43&lt;&gt; 0, Source!BC43, 1)</f>
        <v>6.57</v>
      </c>
      <c r="K77" s="38">
        <f>Source!O43</f>
        <v>35215.07</v>
      </c>
      <c r="L77" s="39"/>
      <c r="S77">
        <f>ROUND((Source!FX43/100)*((ROUND(Source!AF43*Source!I43, 2)+ROUND(Source!AE43*Source!I43, 2))), 2)</f>
        <v>0</v>
      </c>
      <c r="T77">
        <f>Source!X43</f>
        <v>0</v>
      </c>
      <c r="U77">
        <f>ROUND((Source!FY43/100)*((ROUND(Source!AF43*Source!I43, 2)+ROUND(Source!AE43*Source!I43, 2))), 2)</f>
        <v>0</v>
      </c>
      <c r="V77">
        <f>Source!Y43</f>
        <v>0</v>
      </c>
      <c r="W77">
        <f>IF(Source!BI43&lt;=1,H77, 0)</f>
        <v>5359.98</v>
      </c>
      <c r="X77">
        <f>IF(Source!BI43=2,H77, 0)</f>
        <v>0</v>
      </c>
      <c r="Y77">
        <f>IF(Source!BI43=3,H77, 0)</f>
        <v>0</v>
      </c>
      <c r="Z77">
        <f>IF(Source!BI43=4,H77, 0)</f>
        <v>0</v>
      </c>
    </row>
    <row r="78" spans="1:26" ht="14.25" x14ac:dyDescent="0.2">
      <c r="A78" s="53" t="str">
        <f>Source!E45</f>
        <v>5,3</v>
      </c>
      <c r="B78" s="54" t="str">
        <f>Source!F45</f>
        <v>14.1.06.05</v>
      </c>
      <c r="C78" s="54" t="str">
        <f>Source!G45</f>
        <v>Клей</v>
      </c>
      <c r="D78" s="35" t="str">
        <f>Source!H45</f>
        <v>кг</v>
      </c>
      <c r="E78" s="13">
        <f>Source!I45</f>
        <v>44.543999999999997</v>
      </c>
      <c r="F78" s="36">
        <f>Source!AL45+Source!AM45+Source!AO45</f>
        <v>0</v>
      </c>
      <c r="G78" s="52" t="s">
        <v>6</v>
      </c>
      <c r="H78" s="38">
        <f>ROUND(Source!AC45*Source!I45, 2)+ROUND(Source!AD45*Source!I45, 2)+ROUND(Source!AF45*Source!I45, 2)</f>
        <v>0</v>
      </c>
      <c r="I78" s="37"/>
      <c r="J78" s="37">
        <f>IF(Source!BC45&lt;&gt; 0, Source!BC45, 1)</f>
        <v>6.57</v>
      </c>
      <c r="K78" s="38">
        <f>Source!O45</f>
        <v>0</v>
      </c>
      <c r="L78" s="39"/>
      <c r="S78">
        <f>ROUND((Source!FX45/100)*((ROUND(Source!AF45*Source!I45, 2)+ROUND(Source!AE45*Source!I45, 2))), 2)</f>
        <v>0</v>
      </c>
      <c r="T78">
        <f>Source!X45</f>
        <v>0</v>
      </c>
      <c r="U78">
        <f>ROUND((Source!FY45/100)*((ROUND(Source!AF45*Source!I45, 2)+ROUND(Source!AE45*Source!I45, 2))), 2)</f>
        <v>0</v>
      </c>
      <c r="V78">
        <f>Source!Y45</f>
        <v>0</v>
      </c>
      <c r="W78">
        <f>IF(Source!BI45&lt;=1,H78, 0)</f>
        <v>0</v>
      </c>
      <c r="X78">
        <f>IF(Source!BI45=2,H78, 0)</f>
        <v>0</v>
      </c>
      <c r="Y78">
        <f>IF(Source!BI45=3,H78, 0)</f>
        <v>0</v>
      </c>
      <c r="Z78">
        <f>IF(Source!BI45=4,H78, 0)</f>
        <v>0</v>
      </c>
    </row>
    <row r="79" spans="1:26" ht="28.5" x14ac:dyDescent="0.2">
      <c r="A79" s="53" t="str">
        <f>Source!E47</f>
        <v>5,4</v>
      </c>
      <c r="B79" s="54" t="str">
        <f>Source!F47</f>
        <v>14.1.02.03-0002</v>
      </c>
      <c r="C79" s="54" t="str">
        <f>Source!G47</f>
        <v>Клей ПВА</v>
      </c>
      <c r="D79" s="35" t="str">
        <f>Source!H47</f>
        <v>кг</v>
      </c>
      <c r="E79" s="13">
        <f>Source!I47</f>
        <v>44.543999999999997</v>
      </c>
      <c r="F79" s="36">
        <f>Source!AL47+Source!AM47+Source!AO47</f>
        <v>15.9</v>
      </c>
      <c r="G79" s="52" t="s">
        <v>6</v>
      </c>
      <c r="H79" s="38">
        <f>ROUND(Source!AC47*Source!I47, 2)+ROUND(Source!AD47*Source!I47, 2)+ROUND(Source!AF47*Source!I47, 2)</f>
        <v>708.25</v>
      </c>
      <c r="I79" s="37"/>
      <c r="J79" s="37">
        <f>IF(Source!BC47&lt;&gt; 0, Source!BC47, 1)</f>
        <v>6.57</v>
      </c>
      <c r="K79" s="38">
        <f>Source!O47</f>
        <v>4653.2</v>
      </c>
      <c r="L79" s="39"/>
      <c r="S79">
        <f>ROUND((Source!FX47/100)*((ROUND(Source!AF47*Source!I47, 2)+ROUND(Source!AE47*Source!I47, 2))), 2)</f>
        <v>0</v>
      </c>
      <c r="T79">
        <f>Source!X47</f>
        <v>0</v>
      </c>
      <c r="U79">
        <f>ROUND((Source!FY47/100)*((ROUND(Source!AF47*Source!I47, 2)+ROUND(Source!AE47*Source!I47, 2))), 2)</f>
        <v>0</v>
      </c>
      <c r="V79">
        <f>Source!Y47</f>
        <v>0</v>
      </c>
      <c r="W79">
        <f>IF(Source!BI47&lt;=1,H79, 0)</f>
        <v>708.25</v>
      </c>
      <c r="X79">
        <f>IF(Source!BI47=2,H79, 0)</f>
        <v>0</v>
      </c>
      <c r="Y79">
        <f>IF(Source!BI47=3,H79, 0)</f>
        <v>0</v>
      </c>
      <c r="Z79">
        <f>IF(Source!BI47=4,H79, 0)</f>
        <v>0</v>
      </c>
    </row>
    <row r="80" spans="1:26" ht="28.5" x14ac:dyDescent="0.2">
      <c r="A80" s="53" t="str">
        <f>Source!E49</f>
        <v>5,5</v>
      </c>
      <c r="B80" s="54" t="str">
        <f>Source!F49</f>
        <v>14.3.01.01-0001</v>
      </c>
      <c r="C80" s="54" t="str">
        <f>Source!G49</f>
        <v>Грунтовка: «Бетоконтакт», КНАУФ</v>
      </c>
      <c r="D80" s="35" t="str">
        <f>Source!H49</f>
        <v>кг</v>
      </c>
      <c r="E80" s="13">
        <f>Source!I49</f>
        <v>13.215000000000002</v>
      </c>
      <c r="F80" s="36">
        <f>Source!AL49+Source!AM49+Source!AO49</f>
        <v>15.09</v>
      </c>
      <c r="G80" s="52" t="s">
        <v>6</v>
      </c>
      <c r="H80" s="38">
        <f>ROUND(Source!AC49*Source!I49, 2)+ROUND(Source!AD49*Source!I49, 2)+ROUND(Source!AF49*Source!I49, 2)</f>
        <v>199.41</v>
      </c>
      <c r="I80" s="37"/>
      <c r="J80" s="37">
        <f>IF(Source!BC49&lt;&gt; 0, Source!BC49, 1)</f>
        <v>6.57</v>
      </c>
      <c r="K80" s="38">
        <f>Source!O49</f>
        <v>1310.1500000000001</v>
      </c>
      <c r="L80" s="39"/>
      <c r="S80">
        <f>ROUND((Source!FX49/100)*((ROUND(Source!AF49*Source!I49, 2)+ROUND(Source!AE49*Source!I49, 2))), 2)</f>
        <v>0</v>
      </c>
      <c r="T80">
        <f>Source!X49</f>
        <v>0</v>
      </c>
      <c r="U80">
        <f>ROUND((Source!FY49/100)*((ROUND(Source!AF49*Source!I49, 2)+ROUND(Source!AE49*Source!I49, 2))), 2)</f>
        <v>0</v>
      </c>
      <c r="V80">
        <f>Source!Y49</f>
        <v>0</v>
      </c>
      <c r="W80">
        <f>IF(Source!BI49&lt;=1,H80, 0)</f>
        <v>199.41</v>
      </c>
      <c r="X80">
        <f>IF(Source!BI49=2,H80, 0)</f>
        <v>0</v>
      </c>
      <c r="Y80">
        <f>IF(Source!BI49=3,H80, 0)</f>
        <v>0</v>
      </c>
      <c r="Z80">
        <f>IF(Source!BI49=4,H80, 0)</f>
        <v>0</v>
      </c>
    </row>
    <row r="81" spans="1:26" ht="14.25" x14ac:dyDescent="0.2">
      <c r="A81" s="55" t="str">
        <f>Source!E51</f>
        <v>5,6</v>
      </c>
      <c r="B81" s="56" t="str">
        <f>Source!F51</f>
        <v>14.4.01.21</v>
      </c>
      <c r="C81" s="56" t="str">
        <f>Source!G51</f>
        <v>Грунтовка</v>
      </c>
      <c r="D81" s="42" t="str">
        <f>Source!H51</f>
        <v>т</v>
      </c>
      <c r="E81" s="43">
        <f>Source!I51</f>
        <v>1.3215000000000001E-2</v>
      </c>
      <c r="F81" s="44">
        <f>Source!AL51+Source!AM51+Source!AO51</f>
        <v>0</v>
      </c>
      <c r="G81" s="50" t="s">
        <v>6</v>
      </c>
      <c r="H81" s="46">
        <f>ROUND(Source!AC51*Source!I51, 2)+ROUND(Source!AD51*Source!I51, 2)+ROUND(Source!AF51*Source!I51, 2)</f>
        <v>0</v>
      </c>
      <c r="I81" s="45"/>
      <c r="J81" s="45">
        <f>IF(Source!BC51&lt;&gt; 0, Source!BC51, 1)</f>
        <v>6.57</v>
      </c>
      <c r="K81" s="46">
        <f>Source!O51</f>
        <v>0</v>
      </c>
      <c r="L81" s="51"/>
      <c r="S81">
        <f>ROUND((Source!FX51/100)*((ROUND(Source!AF51*Source!I51, 2)+ROUND(Source!AE51*Source!I51, 2))), 2)</f>
        <v>0</v>
      </c>
      <c r="T81">
        <f>Source!X51</f>
        <v>0</v>
      </c>
      <c r="U81">
        <f>ROUND((Source!FY51/100)*((ROUND(Source!AF51*Source!I51, 2)+ROUND(Source!AE51*Source!I51, 2))), 2)</f>
        <v>0</v>
      </c>
      <c r="V81">
        <f>Source!Y51</f>
        <v>0</v>
      </c>
      <c r="W81">
        <f>IF(Source!BI51&lt;=1,H81, 0)</f>
        <v>0</v>
      </c>
      <c r="X81">
        <f>IF(Source!BI51=2,H81, 0)</f>
        <v>0</v>
      </c>
      <c r="Y81">
        <f>IF(Source!BI51=3,H81, 0)</f>
        <v>0</v>
      </c>
      <c r="Z81">
        <f>IF(Source!BI51=4,H81, 0)</f>
        <v>0</v>
      </c>
    </row>
    <row r="82" spans="1:26" ht="15" x14ac:dyDescent="0.25">
      <c r="G82" s="77">
        <f>H69+H70+H72+H73+H74+SUM(H76:H81)</f>
        <v>11809.21</v>
      </c>
      <c r="H82" s="77"/>
      <c r="J82" s="77">
        <f>K69+K70+K72+K73+K74+SUM(K76:K81)</f>
        <v>77698.820000000007</v>
      </c>
      <c r="K82" s="77"/>
      <c r="L82" s="48">
        <f>Source!U39</f>
        <v>247.17465599999997</v>
      </c>
      <c r="O82" s="29">
        <f>G82</f>
        <v>11809.21</v>
      </c>
      <c r="P82" s="29">
        <f>J82</f>
        <v>77698.820000000007</v>
      </c>
      <c r="Q82" s="29">
        <f>L82</f>
        <v>247.17465599999997</v>
      </c>
      <c r="W82">
        <f>IF(Source!BI39&lt;=1,H69+H70+H72+H73+H74, 0)</f>
        <v>5541.57</v>
      </c>
      <c r="X82">
        <f>IF(Source!BI39=2,H69+H70+H72+H73+H74, 0)</f>
        <v>0</v>
      </c>
      <c r="Y82">
        <f>IF(Source!BI39=3,H69+H70+H72+H73+H74, 0)</f>
        <v>0</v>
      </c>
      <c r="Z82">
        <f>IF(Source!BI39=4,H69+H70+H72+H73+H74, 0)</f>
        <v>0</v>
      </c>
    </row>
    <row r="83" spans="1:26" ht="42.75" x14ac:dyDescent="0.2">
      <c r="A83" s="55" t="str">
        <f>Source!E53</f>
        <v>6</v>
      </c>
      <c r="B83" s="56" t="str">
        <f>Source!F53</f>
        <v>т01-01-01-041</v>
      </c>
      <c r="C83" s="56" t="str">
        <f>Source!G53</f>
        <v>Погрузочные работы при автомобильных перевозках мусора строительного с погрузкой вручную</v>
      </c>
      <c r="D83" s="42" t="str">
        <f>Source!H53</f>
        <v>1 Т ГРУЗА</v>
      </c>
      <c r="E83" s="43">
        <f>Source!I53</f>
        <v>1.5</v>
      </c>
      <c r="F83" s="44">
        <f>Source!AK53</f>
        <v>42.98</v>
      </c>
      <c r="G83" s="45" t="str">
        <f>Source!DC53</f>
        <v/>
      </c>
      <c r="H83" s="46">
        <f>ROUND(Source!AB53*Source!I53, 2)</f>
        <v>64.47</v>
      </c>
      <c r="I83" s="45" t="str">
        <f>Source!BO53</f>
        <v/>
      </c>
      <c r="J83" s="45">
        <f>Source!AZ53</f>
        <v>6.57</v>
      </c>
      <c r="K83" s="46">
        <f>Source!GM53</f>
        <v>423.57</v>
      </c>
      <c r="L83" s="51"/>
      <c r="S83">
        <f>ROUND((Source!FX53/100)*((ROUND(0*Source!I53, 2)+ROUND(0*Source!I53, 2))), 2)</f>
        <v>0</v>
      </c>
      <c r="T83">
        <f>Source!X53</f>
        <v>0</v>
      </c>
      <c r="U83">
        <f>ROUND((Source!FY53/100)*((ROUND(0*Source!I53, 2)+ROUND(0*Source!I53, 2))), 2)</f>
        <v>0</v>
      </c>
      <c r="V83">
        <f>Source!Y53</f>
        <v>0</v>
      </c>
    </row>
    <row r="84" spans="1:26" ht="15" x14ac:dyDescent="0.25">
      <c r="G84" s="77">
        <f>H83</f>
        <v>64.47</v>
      </c>
      <c r="H84" s="77"/>
      <c r="J84" s="77">
        <f>K83</f>
        <v>423.57</v>
      </c>
      <c r="K84" s="77"/>
      <c r="L84" s="48">
        <f>Source!U53</f>
        <v>0</v>
      </c>
      <c r="O84" s="29">
        <f>G84</f>
        <v>64.47</v>
      </c>
      <c r="P84" s="29">
        <f>J84</f>
        <v>423.57</v>
      </c>
      <c r="Q84" s="29">
        <f>L84</f>
        <v>0</v>
      </c>
      <c r="W84">
        <f>IF(Source!BI53&lt;=1,H83, 0)</f>
        <v>64.47</v>
      </c>
      <c r="X84">
        <f>IF(Source!BI53=2,H83, 0)</f>
        <v>0</v>
      </c>
      <c r="Y84">
        <f>IF(Source!BI53=3,H83, 0)</f>
        <v>0</v>
      </c>
      <c r="Z84">
        <f>IF(Source!BI53=4,H83, 0)</f>
        <v>0</v>
      </c>
    </row>
    <row r="85" spans="1:26" ht="57" x14ac:dyDescent="0.2">
      <c r="A85" s="55" t="str">
        <f>Source!E55</f>
        <v>7</v>
      </c>
      <c r="B85" s="56" t="str">
        <f>Source!F55</f>
        <v>т03-21-01-015</v>
      </c>
      <c r="C85" s="56" t="str">
        <f>Source!G55</f>
        <v>Перевозка грузов I класса автомобилями-самосвалами грузоподъемностью 10 т работающих вне карьера на расстояние до 15 км</v>
      </c>
      <c r="D85" s="42" t="str">
        <f>Source!H55</f>
        <v>1 Т ГРУЗА</v>
      </c>
      <c r="E85" s="43">
        <f>Source!I55</f>
        <v>1.5</v>
      </c>
      <c r="F85" s="44">
        <f>Source!AK55</f>
        <v>13.38</v>
      </c>
      <c r="G85" s="45" t="str">
        <f>Source!DC55</f>
        <v/>
      </c>
      <c r="H85" s="46">
        <f>ROUND(Source!AB55*Source!I55, 2)</f>
        <v>20.07</v>
      </c>
      <c r="I85" s="45" t="str">
        <f>Source!BO55</f>
        <v/>
      </c>
      <c r="J85" s="45">
        <f>Source!AZ55</f>
        <v>6.57</v>
      </c>
      <c r="K85" s="46">
        <f>Source!GM55</f>
        <v>131.86000000000001</v>
      </c>
      <c r="L85" s="51"/>
      <c r="S85">
        <f>ROUND((Source!FX55/100)*((ROUND(0*Source!I55, 2)+ROUND(0*Source!I55, 2))), 2)</f>
        <v>0</v>
      </c>
      <c r="T85">
        <f>Source!X55</f>
        <v>0</v>
      </c>
      <c r="U85">
        <f>ROUND((Source!FY55/100)*((ROUND(0*Source!I55, 2)+ROUND(0*Source!I55, 2))), 2)</f>
        <v>0</v>
      </c>
      <c r="V85">
        <f>Source!Y55</f>
        <v>0</v>
      </c>
    </row>
    <row r="86" spans="1:26" ht="15" x14ac:dyDescent="0.25">
      <c r="G86" s="77">
        <f>H85</f>
        <v>20.07</v>
      </c>
      <c r="H86" s="77"/>
      <c r="J86" s="77">
        <f>K85</f>
        <v>131.86000000000001</v>
      </c>
      <c r="K86" s="77"/>
      <c r="L86" s="48">
        <f>Source!U55</f>
        <v>0</v>
      </c>
      <c r="O86" s="29">
        <f>G86</f>
        <v>20.07</v>
      </c>
      <c r="P86" s="29">
        <f>J86</f>
        <v>131.86000000000001</v>
      </c>
      <c r="Q86" s="29">
        <f>L86</f>
        <v>0</v>
      </c>
      <c r="W86">
        <f>IF(Source!BI55&lt;=1,H85, 0)</f>
        <v>20.07</v>
      </c>
      <c r="X86">
        <f>IF(Source!BI55=2,H85, 0)</f>
        <v>0</v>
      </c>
      <c r="Y86">
        <f>IF(Source!BI55=3,H85, 0)</f>
        <v>0</v>
      </c>
      <c r="Z86">
        <f>IF(Source!BI55=4,H85, 0)</f>
        <v>0</v>
      </c>
    </row>
    <row r="88" spans="1:26" ht="15" x14ac:dyDescent="0.25">
      <c r="A88" s="83" t="str">
        <f>CONCATENATE("Итого по локальной смете: ",IF(Source!G57&lt;&gt;"Новая локальная смета", Source!G57, ""))</f>
        <v xml:space="preserve">Итого по локальной смете: </v>
      </c>
      <c r="B88" s="83"/>
      <c r="C88" s="83"/>
      <c r="D88" s="83"/>
      <c r="E88" s="83"/>
      <c r="F88" s="83"/>
      <c r="G88" s="76">
        <f>SUM(O24:O87)</f>
        <v>148525.70000000001</v>
      </c>
      <c r="H88" s="76"/>
      <c r="I88" s="32"/>
      <c r="J88" s="76">
        <f>SUM(P24:P87)</f>
        <v>976051.94000000018</v>
      </c>
      <c r="K88" s="76"/>
      <c r="L88" s="48">
        <f>SUM(Q24:Q87)</f>
        <v>862.14201600000001</v>
      </c>
    </row>
    <row r="89" spans="1:26" ht="15" x14ac:dyDescent="0.25">
      <c r="C89" s="83" t="str">
        <f>Source!H118</f>
        <v>Итого НДС 18%</v>
      </c>
      <c r="D89" s="83"/>
      <c r="E89" s="83"/>
      <c r="F89" s="83"/>
      <c r="G89" s="83"/>
      <c r="H89" s="83"/>
      <c r="I89" s="83"/>
      <c r="J89" s="76">
        <f>IF(Source!P118=0, "", Source!P118)</f>
        <v>175689.35</v>
      </c>
      <c r="K89" s="76"/>
    </row>
    <row r="90" spans="1:26" ht="15" x14ac:dyDescent="0.25">
      <c r="C90" s="83" t="str">
        <f>Source!H119</f>
        <v>Всего по смете</v>
      </c>
      <c r="D90" s="83"/>
      <c r="E90" s="83"/>
      <c r="F90" s="83"/>
      <c r="G90" s="83"/>
      <c r="H90" s="83"/>
      <c r="I90" s="83"/>
      <c r="J90" s="76">
        <f>IF(Source!P119=0, "", Source!P119)</f>
        <v>1151741.29</v>
      </c>
      <c r="K90" s="76"/>
    </row>
    <row r="92" spans="1:26" ht="14.25" x14ac:dyDescent="0.2">
      <c r="A92" s="31" t="s">
        <v>309</v>
      </c>
      <c r="B92" s="31"/>
      <c r="C92" s="13" t="s">
        <v>310</v>
      </c>
      <c r="D92" s="30" t="str">
        <f>IF(Source!AC12&lt;&gt;"", Source!AC12," ")</f>
        <v xml:space="preserve"> </v>
      </c>
      <c r="E92" s="30"/>
      <c r="F92" s="30"/>
      <c r="G92" s="30"/>
      <c r="H92" s="30"/>
      <c r="I92" s="14" t="str">
        <f>IF(Source!AB12&lt;&gt;"", Source!AB12," ")</f>
        <v xml:space="preserve"> </v>
      </c>
      <c r="J92" s="14"/>
      <c r="K92" s="14"/>
      <c r="L92" s="14"/>
    </row>
    <row r="93" spans="1:26" ht="14.25" x14ac:dyDescent="0.2">
      <c r="A93" s="14"/>
      <c r="B93" s="14"/>
      <c r="C93" s="13"/>
      <c r="D93" s="78" t="s">
        <v>311</v>
      </c>
      <c r="E93" s="78"/>
      <c r="F93" s="78"/>
      <c r="G93" s="78"/>
      <c r="H93" s="78"/>
      <c r="I93" s="14"/>
      <c r="J93" s="14"/>
      <c r="K93" s="14"/>
      <c r="L93" s="14"/>
    </row>
    <row r="94" spans="1:26" ht="14.25" x14ac:dyDescent="0.2">
      <c r="A94" s="14"/>
      <c r="B94" s="14"/>
      <c r="C94" s="13"/>
      <c r="D94" s="14"/>
      <c r="E94" s="14"/>
      <c r="F94" s="14"/>
      <c r="G94" s="14"/>
      <c r="H94" s="14"/>
      <c r="I94" s="14"/>
      <c r="J94" s="14"/>
      <c r="K94" s="14"/>
      <c r="L94" s="14"/>
    </row>
    <row r="95" spans="1:26" ht="14.25" x14ac:dyDescent="0.2">
      <c r="A95" s="31" t="s">
        <v>309</v>
      </c>
      <c r="B95" s="31"/>
      <c r="C95" s="13" t="s">
        <v>312</v>
      </c>
      <c r="D95" s="30" t="str">
        <f>IF(Source!AE12&lt;&gt;"", Source!AE12," ")</f>
        <v xml:space="preserve"> </v>
      </c>
      <c r="E95" s="30"/>
      <c r="F95" s="30"/>
      <c r="G95" s="30"/>
      <c r="H95" s="30"/>
      <c r="I95" s="14" t="str">
        <f>IF(Source!AD12&lt;&gt;"", Source!AD12," ")</f>
        <v xml:space="preserve"> </v>
      </c>
      <c r="J95" s="14"/>
      <c r="K95" s="14"/>
      <c r="L95" s="14"/>
    </row>
    <row r="96" spans="1:26" ht="14.25" x14ac:dyDescent="0.2">
      <c r="A96" s="14"/>
      <c r="B96" s="14"/>
      <c r="C96" s="14"/>
      <c r="D96" s="78" t="s">
        <v>311</v>
      </c>
      <c r="E96" s="78"/>
      <c r="F96" s="78"/>
      <c r="G96" s="78"/>
      <c r="H96" s="78"/>
      <c r="I96" s="14"/>
      <c r="J96" s="14"/>
      <c r="K96" s="14"/>
      <c r="L96" s="14"/>
    </row>
  </sheetData>
  <mergeCells count="60">
    <mergeCell ref="B6:E6"/>
    <mergeCell ref="H6:L6"/>
    <mergeCell ref="B3:E3"/>
    <mergeCell ref="H3:L3"/>
    <mergeCell ref="B5:E5"/>
    <mergeCell ref="H5:L5"/>
    <mergeCell ref="B9:K9"/>
    <mergeCell ref="B11:K11"/>
    <mergeCell ref="B12:K12"/>
    <mergeCell ref="G14:H14"/>
    <mergeCell ref="I14:J14"/>
    <mergeCell ref="C15:F15"/>
    <mergeCell ref="G15:H15"/>
    <mergeCell ref="I15:J15"/>
    <mergeCell ref="K15:L15"/>
    <mergeCell ref="C16:F16"/>
    <mergeCell ref="G16:H16"/>
    <mergeCell ref="I16:J16"/>
    <mergeCell ref="K16:L16"/>
    <mergeCell ref="C17:F17"/>
    <mergeCell ref="G17:H17"/>
    <mergeCell ref="I17:J17"/>
    <mergeCell ref="K17:L17"/>
    <mergeCell ref="D96:H96"/>
    <mergeCell ref="C18:F18"/>
    <mergeCell ref="G18:H18"/>
    <mergeCell ref="I18:J18"/>
    <mergeCell ref="K18:L18"/>
    <mergeCell ref="A20:L20"/>
    <mergeCell ref="J88:K88"/>
    <mergeCell ref="A88:F88"/>
    <mergeCell ref="J86:K86"/>
    <mergeCell ref="C89:I89"/>
    <mergeCell ref="J89:K89"/>
    <mergeCell ref="C90:I90"/>
    <mergeCell ref="J90:K90"/>
    <mergeCell ref="D93:H93"/>
    <mergeCell ref="F52:G52"/>
    <mergeCell ref="G86:H86"/>
    <mergeCell ref="J84:K84"/>
    <mergeCell ref="G84:H84"/>
    <mergeCell ref="J82:K82"/>
    <mergeCell ref="G82:H82"/>
    <mergeCell ref="F74:G74"/>
    <mergeCell ref="F31:G31"/>
    <mergeCell ref="F30:G30"/>
    <mergeCell ref="A24:L24"/>
    <mergeCell ref="G88:H88"/>
    <mergeCell ref="F51:G51"/>
    <mergeCell ref="J44:K44"/>
    <mergeCell ref="G44:H44"/>
    <mergeCell ref="F41:G41"/>
    <mergeCell ref="F40:G40"/>
    <mergeCell ref="J33:K33"/>
    <mergeCell ref="G33:H33"/>
    <mergeCell ref="F73:G73"/>
    <mergeCell ref="J66:K66"/>
    <mergeCell ref="G66:H66"/>
    <mergeCell ref="J55:K55"/>
    <mergeCell ref="G55:H55"/>
  </mergeCells>
  <pageMargins left="0.4" right="0.2" top="0.4" bottom="0.4" header="0.2" footer="0.2"/>
  <pageSetup paperSize="256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6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117" t="s">
        <v>313</v>
      </c>
      <c r="F2" s="117"/>
      <c r="G2" s="117"/>
      <c r="H2" s="117"/>
    </row>
    <row r="3" spans="1:31" ht="14.25" x14ac:dyDescent="0.2">
      <c r="A3" s="14"/>
      <c r="B3" s="14"/>
      <c r="C3" s="14"/>
      <c r="D3" s="14"/>
      <c r="E3" s="117" t="s">
        <v>314</v>
      </c>
      <c r="F3" s="117"/>
      <c r="G3" s="117"/>
      <c r="H3" s="117"/>
    </row>
    <row r="4" spans="1:31" ht="14.25" x14ac:dyDescent="0.2">
      <c r="A4" s="14"/>
      <c r="B4" s="14"/>
      <c r="C4" s="14"/>
      <c r="D4" s="14"/>
      <c r="E4" s="117" t="s">
        <v>315</v>
      </c>
      <c r="F4" s="117"/>
      <c r="G4" s="117"/>
      <c r="H4" s="117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101" t="s">
        <v>316</v>
      </c>
      <c r="H6" s="102"/>
    </row>
    <row r="7" spans="1:31" ht="14.25" x14ac:dyDescent="0.2">
      <c r="A7" s="14"/>
      <c r="B7" s="14"/>
      <c r="C7" s="14"/>
      <c r="D7" s="14"/>
      <c r="E7" s="14"/>
      <c r="F7" s="13" t="s">
        <v>317</v>
      </c>
      <c r="G7" s="118" t="s">
        <v>318</v>
      </c>
      <c r="H7" s="102"/>
    </row>
    <row r="8" spans="1:31" ht="14.25" x14ac:dyDescent="0.2">
      <c r="A8" s="14"/>
      <c r="B8" s="14"/>
      <c r="C8" s="14"/>
      <c r="D8" s="14"/>
      <c r="E8" s="14"/>
      <c r="F8" s="14"/>
      <c r="G8" s="101" t="str">
        <f>IF(Source!AT15 &lt;&gt; "", Source!AT15, "")</f>
        <v/>
      </c>
      <c r="H8" s="102"/>
    </row>
    <row r="9" spans="1:31" ht="14.25" x14ac:dyDescent="0.2">
      <c r="A9" s="14" t="s">
        <v>319</v>
      </c>
      <c r="B9" s="14"/>
      <c r="C9" s="114" t="str">
        <f>IF(Source!BA15 &lt;&gt; "", Source!BA15, IF(Source!AU15 &lt;&gt; "", Source!AU15, ""))</f>
        <v/>
      </c>
      <c r="D9" s="114"/>
      <c r="E9" s="114"/>
      <c r="F9" s="13" t="s">
        <v>320</v>
      </c>
      <c r="G9" s="112"/>
      <c r="H9" s="113"/>
    </row>
    <row r="10" spans="1:31" ht="14.25" x14ac:dyDescent="0.2">
      <c r="A10" s="14"/>
      <c r="B10" s="14"/>
      <c r="C10" s="99" t="s">
        <v>321</v>
      </c>
      <c r="D10" s="99"/>
      <c r="E10" s="99"/>
      <c r="F10" s="14"/>
      <c r="G10" s="101" t="str">
        <f>IF(Source!AK15 &lt;&gt; "", Source!AK15, "")</f>
        <v/>
      </c>
      <c r="H10" s="102"/>
    </row>
    <row r="11" spans="1:31" ht="14.25" x14ac:dyDescent="0.2">
      <c r="A11" s="14" t="s">
        <v>322</v>
      </c>
      <c r="B11" s="14"/>
      <c r="C11" s="114" t="str">
        <f>IF(Source!AX12&lt;&gt; "", Source!AX12, IF(Source!AJ12 &lt;&gt; "", Source!AJ12, ""))</f>
        <v/>
      </c>
      <c r="D11" s="114"/>
      <c r="E11" s="114"/>
      <c r="F11" s="13" t="s">
        <v>320</v>
      </c>
      <c r="G11" s="112"/>
      <c r="H11" s="113"/>
    </row>
    <row r="12" spans="1:31" ht="14.25" x14ac:dyDescent="0.2">
      <c r="A12" s="14"/>
      <c r="B12" s="14"/>
      <c r="C12" s="99" t="s">
        <v>321</v>
      </c>
      <c r="D12" s="99"/>
      <c r="E12" s="99"/>
      <c r="F12" s="14"/>
      <c r="G12" s="101" t="str">
        <f>IF(Source!AO15 &lt;&gt; "", Source!AO15, "")</f>
        <v/>
      </c>
      <c r="H12" s="102"/>
    </row>
    <row r="13" spans="1:31" ht="14.25" x14ac:dyDescent="0.2">
      <c r="A13" s="14" t="s">
        <v>323</v>
      </c>
      <c r="B13" s="14"/>
      <c r="C13" s="114" t="str">
        <f>IF(Source!AY12&lt;&gt; "", Source!AY12, IF(Source!AN12 &lt;&gt; "", Source!AN12, ""))</f>
        <v/>
      </c>
      <c r="D13" s="114"/>
      <c r="E13" s="114"/>
      <c r="F13" s="13" t="s">
        <v>320</v>
      </c>
      <c r="G13" s="112"/>
      <c r="H13" s="113"/>
    </row>
    <row r="14" spans="1:31" ht="14.25" x14ac:dyDescent="0.2">
      <c r="A14" s="14"/>
      <c r="B14" s="14"/>
      <c r="C14" s="99" t="s">
        <v>321</v>
      </c>
      <c r="D14" s="99"/>
      <c r="E14" s="99"/>
      <c r="F14" s="14"/>
      <c r="G14" s="101" t="str">
        <f>IF(Source!CO15 &lt;&gt; "", Source!CO15, "")</f>
        <v/>
      </c>
      <c r="H14" s="102"/>
    </row>
    <row r="15" spans="1:31" ht="28.5" x14ac:dyDescent="0.2">
      <c r="A15" s="14" t="s">
        <v>324</v>
      </c>
      <c r="B15" s="14"/>
      <c r="C15" s="114" t="s">
        <v>5</v>
      </c>
      <c r="D15" s="114"/>
      <c r="E15" s="114"/>
      <c r="F15" s="14"/>
      <c r="G15" s="112"/>
      <c r="H15" s="113"/>
      <c r="AE15" s="34" t="s">
        <v>5</v>
      </c>
    </row>
    <row r="16" spans="1:31" ht="14.25" x14ac:dyDescent="0.2">
      <c r="A16" s="14"/>
      <c r="B16" s="14"/>
      <c r="C16" s="99" t="s">
        <v>325</v>
      </c>
      <c r="D16" s="99"/>
      <c r="E16" s="99"/>
      <c r="F16" s="14"/>
      <c r="G16" s="101" t="str">
        <f>IF(Source!CP15 &lt;&gt; "", Source!CP15, "")</f>
        <v/>
      </c>
      <c r="H16" s="102"/>
    </row>
    <row r="17" spans="1:31" ht="28.5" x14ac:dyDescent="0.2">
      <c r="A17" s="14" t="s">
        <v>326</v>
      </c>
      <c r="B17" s="14"/>
      <c r="C17" s="114" t="str">
        <f>IF(Source!G12&lt;&gt;"Новый объект", Source!G12, "")</f>
        <v>Капитальный ремонт окооных проемов общежития ДИТИ НИЯУ МИФИ_цена поставщика</v>
      </c>
      <c r="D17" s="114"/>
      <c r="E17" s="114"/>
      <c r="F17" s="14"/>
      <c r="G17" s="115"/>
      <c r="H17" s="116"/>
      <c r="AE17" s="34" t="str">
        <f>IF(Source!G12&lt;&gt;"Новый объект", Source!G12, "")</f>
        <v>Капитальный ремонт окооных проемов общежития ДИТИ НИЯУ МИФИ_цена поставщика</v>
      </c>
    </row>
    <row r="18" spans="1:31" ht="14.25" x14ac:dyDescent="0.2">
      <c r="A18" s="14"/>
      <c r="B18" s="14"/>
      <c r="C18" s="99" t="s">
        <v>327</v>
      </c>
      <c r="D18" s="99"/>
      <c r="E18" s="99"/>
      <c r="F18" s="14"/>
      <c r="G18" s="14"/>
      <c r="H18" s="14"/>
    </row>
    <row r="19" spans="1:31" ht="14.25" x14ac:dyDescent="0.2">
      <c r="A19" s="14"/>
      <c r="B19" s="14"/>
      <c r="C19" s="14"/>
      <c r="D19" s="84" t="s">
        <v>328</v>
      </c>
      <c r="E19" s="84"/>
      <c r="F19" s="100"/>
      <c r="G19" s="101" t="str">
        <f>IF(Source!CQ15 &lt;&gt; "", Source!CQ15, "")</f>
        <v/>
      </c>
      <c r="H19" s="102"/>
    </row>
    <row r="20" spans="1:31" ht="14.25" x14ac:dyDescent="0.2">
      <c r="A20" s="14"/>
      <c r="B20" s="14"/>
      <c r="C20" s="14"/>
      <c r="D20" s="84" t="s">
        <v>329</v>
      </c>
      <c r="E20" s="100"/>
      <c r="F20" s="60" t="s">
        <v>330</v>
      </c>
      <c r="G20" s="101" t="str">
        <f>IF(Source!CR15 &lt;&gt; "", Source!CR15, "")</f>
        <v/>
      </c>
      <c r="H20" s="102"/>
    </row>
    <row r="21" spans="1:31" ht="14.25" x14ac:dyDescent="0.2">
      <c r="A21" s="14"/>
      <c r="B21" s="14"/>
      <c r="C21" s="14"/>
      <c r="D21" s="14"/>
      <c r="E21" s="14"/>
      <c r="F21" s="24" t="s">
        <v>331</v>
      </c>
      <c r="G21" s="103" t="str">
        <f>IF(Source!CS15 &lt;&gt; 0, Source!CS15, "")</f>
        <v/>
      </c>
      <c r="H21" s="104"/>
    </row>
    <row r="22" spans="1:31" ht="14.25" x14ac:dyDescent="0.2">
      <c r="A22" s="14"/>
      <c r="B22" s="14"/>
      <c r="C22" s="14"/>
      <c r="D22" s="14"/>
      <c r="E22" s="14"/>
      <c r="F22" s="13" t="s">
        <v>332</v>
      </c>
      <c r="G22" s="105" t="str">
        <f>IF(Source!CT15 &lt;&gt; "", Source!CT15, "")</f>
        <v/>
      </c>
      <c r="H22" s="106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7" t="s">
        <v>333</v>
      </c>
      <c r="E24" s="109" t="s">
        <v>334</v>
      </c>
      <c r="F24" s="109" t="s">
        <v>335</v>
      </c>
      <c r="G24" s="111"/>
      <c r="H24" s="14"/>
    </row>
    <row r="25" spans="1:31" ht="14.25" x14ac:dyDescent="0.2">
      <c r="A25" s="14"/>
      <c r="B25" s="14"/>
      <c r="C25" s="14"/>
      <c r="D25" s="108"/>
      <c r="E25" s="110"/>
      <c r="F25" s="61" t="s">
        <v>336</v>
      </c>
      <c r="G25" s="62" t="s">
        <v>337</v>
      </c>
      <c r="H25" s="14"/>
    </row>
    <row r="26" spans="1:31" ht="14.25" x14ac:dyDescent="0.2">
      <c r="A26" s="14"/>
      <c r="B26" s="14"/>
      <c r="C26" s="14"/>
      <c r="D26" s="63" t="str">
        <f>IF(Source!CN15 &lt;&gt; "", Source!CN15, "")</f>
        <v/>
      </c>
      <c r="E26" s="64">
        <v>43133.489074074074</v>
      </c>
      <c r="F26" s="63"/>
      <c r="G26" s="65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98" t="s">
        <v>338</v>
      </c>
      <c r="B28" s="98"/>
      <c r="C28" s="98"/>
      <c r="D28" s="98"/>
      <c r="E28" s="98"/>
      <c r="F28" s="98"/>
      <c r="G28" s="98"/>
      <c r="H28" s="98"/>
    </row>
    <row r="29" spans="1:31" ht="18" x14ac:dyDescent="0.25">
      <c r="A29" s="98" t="s">
        <v>339</v>
      </c>
      <c r="B29" s="98"/>
      <c r="C29" s="98"/>
      <c r="D29" s="98"/>
      <c r="E29" s="98"/>
      <c r="F29" s="98"/>
      <c r="G29" s="98"/>
      <c r="H29" s="98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340</v>
      </c>
      <c r="B31" s="14"/>
      <c r="C31" s="14"/>
      <c r="D31" s="14"/>
      <c r="E31" s="14"/>
      <c r="F31" s="96">
        <f>(Source!P119/1000)</f>
        <v>1151.7412899999999</v>
      </c>
      <c r="G31" s="96"/>
      <c r="H31" s="14" t="s">
        <v>341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97" t="s">
        <v>342</v>
      </c>
      <c r="B33" s="97"/>
      <c r="C33" s="97" t="s">
        <v>343</v>
      </c>
      <c r="D33" s="97" t="s">
        <v>344</v>
      </c>
      <c r="E33" s="97" t="s">
        <v>345</v>
      </c>
      <c r="F33" s="97" t="s">
        <v>346</v>
      </c>
      <c r="G33" s="97"/>
      <c r="H33" s="97"/>
    </row>
    <row r="34" spans="1:28" ht="57" x14ac:dyDescent="0.2">
      <c r="A34" s="23" t="s">
        <v>347</v>
      </c>
      <c r="B34" s="23" t="s">
        <v>348</v>
      </c>
      <c r="C34" s="97"/>
      <c r="D34" s="97"/>
      <c r="E34" s="97"/>
      <c r="F34" s="23" t="s">
        <v>349</v>
      </c>
      <c r="G34" s="23" t="s">
        <v>350</v>
      </c>
      <c r="H34" s="23" t="s">
        <v>351</v>
      </c>
    </row>
    <row r="35" spans="1:28" ht="14.25" x14ac:dyDescent="0.2">
      <c r="A35" s="23">
        <v>1</v>
      </c>
      <c r="B35" s="23">
        <v>2</v>
      </c>
      <c r="C35" s="23">
        <v>3</v>
      </c>
      <c r="D35" s="23">
        <v>4</v>
      </c>
      <c r="E35" s="23">
        <v>5</v>
      </c>
      <c r="F35" s="23">
        <v>6</v>
      </c>
      <c r="G35" s="23">
        <v>7</v>
      </c>
      <c r="H35" s="23">
        <v>8</v>
      </c>
    </row>
    <row r="37" spans="1:28" ht="16.5" x14ac:dyDescent="0.25">
      <c r="A37" s="75" t="str">
        <f>CONCATENATE("Локальная смета: ",IF(Source!G20&lt;&gt;"Новая локальная смета", Source!G20, ""))</f>
        <v xml:space="preserve">Локальная смета: </v>
      </c>
      <c r="B37" s="75"/>
      <c r="C37" s="75"/>
      <c r="D37" s="75"/>
      <c r="E37" s="75"/>
      <c r="F37" s="75"/>
      <c r="G37" s="75"/>
      <c r="H37" s="75"/>
    </row>
    <row r="38" spans="1:28" ht="42.75" x14ac:dyDescent="0.2">
      <c r="A38" s="54">
        <v>1</v>
      </c>
      <c r="B38" s="54" t="str">
        <f>Source!E25</f>
        <v>1</v>
      </c>
      <c r="C38" s="54" t="str">
        <f>Source!G25</f>
        <v>Разборка деревянных заполнений проемов оконных с подоконными досками</v>
      </c>
      <c r="D38" s="54" t="str">
        <f>Source!F25</f>
        <v>46-04-012-01</v>
      </c>
      <c r="E38" s="37" t="str">
        <f>Source!H25</f>
        <v>100 м2</v>
      </c>
      <c r="F38" s="14">
        <f>Source!I25</f>
        <v>1.6128</v>
      </c>
      <c r="G38" s="26">
        <f>Source!AB25</f>
        <v>1767.24</v>
      </c>
      <c r="H38" s="27">
        <f>Source!O25</f>
        <v>18725.849999999999</v>
      </c>
      <c r="T38">
        <f>Source!O25+Source!X25+Source!Y25</f>
        <v>46184.06</v>
      </c>
      <c r="U38">
        <f>Source!P25</f>
        <v>0</v>
      </c>
      <c r="V38">
        <f>Source!S25</f>
        <v>16162.12</v>
      </c>
      <c r="W38">
        <f>Source!Q25</f>
        <v>2563.73</v>
      </c>
      <c r="X38">
        <f>Source!R25</f>
        <v>1107.19</v>
      </c>
      <c r="Y38">
        <f>Source!U25</f>
        <v>304.07731200000001</v>
      </c>
      <c r="Z38">
        <f>Source!V25</f>
        <v>12.483072</v>
      </c>
      <c r="AA38">
        <f>Source!X25</f>
        <v>17096.62</v>
      </c>
      <c r="AB38">
        <f>Source!Y25</f>
        <v>10361.59</v>
      </c>
    </row>
    <row r="39" spans="1:28" ht="14.25" x14ac:dyDescent="0.2">
      <c r="C39" s="28" t="str">
        <f>"Объем: "&amp;Source!I25&amp;"=161,28/"&amp;"100"</f>
        <v>Объем: 1,6128=161,28/100</v>
      </c>
      <c r="F39" s="14"/>
      <c r="G39" s="14"/>
      <c r="H39" s="14"/>
    </row>
    <row r="40" spans="1:28" x14ac:dyDescent="0.2">
      <c r="C40" s="28" t="s">
        <v>352</v>
      </c>
      <c r="D40" s="28">
        <f>Source!BA25</f>
        <v>6.57</v>
      </c>
    </row>
    <row r="41" spans="1:28" x14ac:dyDescent="0.2">
      <c r="C41" s="28" t="s">
        <v>353</v>
      </c>
      <c r="D41" s="28">
        <f>Source!BB25</f>
        <v>6.57</v>
      </c>
    </row>
    <row r="42" spans="1:28" x14ac:dyDescent="0.2">
      <c r="C42" s="28" t="s">
        <v>354</v>
      </c>
      <c r="D42" s="28">
        <f>Source!BC25</f>
        <v>6.57</v>
      </c>
    </row>
    <row r="43" spans="1:28" x14ac:dyDescent="0.2">
      <c r="C43" s="28" t="s">
        <v>355</v>
      </c>
      <c r="D43" s="28">
        <f>Source!BS25</f>
        <v>6.57</v>
      </c>
    </row>
    <row r="44" spans="1:28" x14ac:dyDescent="0.2">
      <c r="C44" s="11" t="s">
        <v>356</v>
      </c>
      <c r="D44" s="41"/>
      <c r="E44" s="41"/>
      <c r="F44" s="41">
        <f>Source!BZ25</f>
        <v>110</v>
      </c>
      <c r="G44" s="66">
        <f>(Source!AF25+Source!AE25)*Source!FX25/100</f>
        <v>1613.4821999999999</v>
      </c>
      <c r="H44" s="67">
        <f>Source!X25</f>
        <v>17096.62</v>
      </c>
    </row>
    <row r="45" spans="1:28" x14ac:dyDescent="0.2">
      <c r="C45" s="11" t="s">
        <v>357</v>
      </c>
      <c r="D45" s="41"/>
      <c r="E45" s="41"/>
      <c r="F45" s="41"/>
      <c r="G45" s="41" t="str">
        <f>CONCATENATE(Source!DL25,Source!FT25, "=", Source!FX25, "%")</f>
        <v>*0,9=99%</v>
      </c>
      <c r="H45" s="41" t="str">
        <f>CONCATENATE(Source!AT25)</f>
        <v>99</v>
      </c>
    </row>
    <row r="46" spans="1:28" x14ac:dyDescent="0.2">
      <c r="C46" s="11" t="s">
        <v>358</v>
      </c>
      <c r="D46" s="41"/>
      <c r="E46" s="41"/>
      <c r="F46" s="41">
        <f>Source!CA25</f>
        <v>70</v>
      </c>
      <c r="G46" s="66">
        <f>(Source!AF25+Source!AE25)*Source!FY25/100</f>
        <v>969.71910000000003</v>
      </c>
      <c r="H46" s="67">
        <f>Source!Y25</f>
        <v>10361.59</v>
      </c>
    </row>
    <row r="47" spans="1:28" x14ac:dyDescent="0.2">
      <c r="C47" s="11" t="s">
        <v>359</v>
      </c>
      <c r="D47" s="41"/>
      <c r="E47" s="41"/>
      <c r="F47" s="41"/>
      <c r="G47" s="41" t="str">
        <f>CONCATENATE(Source!DM25,Source!FU25, "=", Source!FY25, "%")</f>
        <v>*0,85=59,5%</v>
      </c>
      <c r="H47" s="41" t="str">
        <f>CONCATENATE(Source!AU25)</f>
        <v>60</v>
      </c>
    </row>
    <row r="48" spans="1:28" x14ac:dyDescent="0.2">
      <c r="C48" s="11" t="s">
        <v>360</v>
      </c>
      <c r="D48" s="41"/>
      <c r="E48" s="41"/>
      <c r="F48" s="41"/>
      <c r="G48" s="66">
        <f>((Source!AF25+Source!AE25)*Source!FX25/100)+((Source!AF25+Source!AE25)*Source!FY25/100)+Source!AB25</f>
        <v>4350.4412999999995</v>
      </c>
      <c r="H48" s="67">
        <f>Source!O25+Source!X25+Source!Y25</f>
        <v>46184.06</v>
      </c>
    </row>
    <row r="49" spans="1:28" ht="99.75" x14ac:dyDescent="0.2">
      <c r="A49" s="54">
        <v>2</v>
      </c>
      <c r="B49" s="54" t="str">
        <f>Source!E27</f>
        <v>2</v>
      </c>
      <c r="C49" s="54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54" t="str">
        <f>Source!F27</f>
        <v>10-01-034-08</v>
      </c>
      <c r="E49" s="37" t="str">
        <f>Source!H27</f>
        <v>100 м2</v>
      </c>
      <c r="F49" s="14">
        <f>Source!I27</f>
        <v>1.6128</v>
      </c>
      <c r="G49" s="26">
        <f>Source!AB27</f>
        <v>10107.89</v>
      </c>
      <c r="H49" s="27">
        <f>Source!O27</f>
        <v>107104.18</v>
      </c>
      <c r="T49">
        <f>Source!O27+Source!X27+Source!Y27</f>
        <v>130059.23</v>
      </c>
      <c r="U49">
        <f>Source!P27</f>
        <v>90586.240000000005</v>
      </c>
      <c r="V49">
        <f>Source!S27</f>
        <v>13813.71</v>
      </c>
      <c r="W49">
        <f>Source!Q27</f>
        <v>2704.23</v>
      </c>
      <c r="X49">
        <f>Source!R27</f>
        <v>533.20000000000005</v>
      </c>
      <c r="Y49">
        <f>Source!U27</f>
        <v>240.565248</v>
      </c>
      <c r="Z49">
        <f>Source!V27</f>
        <v>6.8221440000000007</v>
      </c>
      <c r="AA49">
        <f>Source!X27</f>
        <v>15207.72</v>
      </c>
      <c r="AB49">
        <f>Source!Y27</f>
        <v>7747.33</v>
      </c>
    </row>
    <row r="50" spans="1:28" ht="14.25" x14ac:dyDescent="0.2">
      <c r="C50" s="28" t="str">
        <f>"Объем: "&amp;Source!I27&amp;"=161,28/"&amp;"100"</f>
        <v>Объем: 1,6128=161,28/100</v>
      </c>
      <c r="F50" s="14"/>
      <c r="G50" s="14"/>
      <c r="H50" s="14"/>
    </row>
    <row r="51" spans="1:28" x14ac:dyDescent="0.2">
      <c r="C51" s="28" t="s">
        <v>352</v>
      </c>
      <c r="D51" s="28">
        <f>Source!BA27</f>
        <v>6.57</v>
      </c>
    </row>
    <row r="52" spans="1:28" x14ac:dyDescent="0.2">
      <c r="C52" s="28" t="s">
        <v>353</v>
      </c>
      <c r="D52" s="28">
        <f>Source!BB27</f>
        <v>6.57</v>
      </c>
    </row>
    <row r="53" spans="1:28" x14ac:dyDescent="0.2">
      <c r="C53" s="28" t="s">
        <v>354</v>
      </c>
      <c r="D53" s="28">
        <f>Source!BC27</f>
        <v>6.57</v>
      </c>
    </row>
    <row r="54" spans="1:28" x14ac:dyDescent="0.2">
      <c r="C54" s="28" t="s">
        <v>355</v>
      </c>
      <c r="D54" s="28">
        <f>Source!BS27</f>
        <v>6.57</v>
      </c>
    </row>
    <row r="55" spans="1:28" x14ac:dyDescent="0.2">
      <c r="C55" s="11" t="s">
        <v>356</v>
      </c>
      <c r="D55" s="41"/>
      <c r="E55" s="41"/>
      <c r="F55" s="41">
        <f>Source!BZ27</f>
        <v>118</v>
      </c>
      <c r="G55" s="66">
        <f>(Source!AF27+Source!AE27)*Source!FX27/100</f>
        <v>1437.9267600000001</v>
      </c>
      <c r="H55" s="67">
        <f>Source!X27</f>
        <v>15207.72</v>
      </c>
    </row>
    <row r="56" spans="1:28" x14ac:dyDescent="0.2">
      <c r="C56" s="11" t="s">
        <v>357</v>
      </c>
      <c r="D56" s="41"/>
      <c r="E56" s="41"/>
      <c r="F56" s="41"/>
      <c r="G56" s="41" t="str">
        <f>CONCATENATE(Source!DL27,Source!FT27, "=", Source!FX27, "%")</f>
        <v>*0,9=106,2%</v>
      </c>
      <c r="H56" s="41" t="str">
        <f>CONCATENATE(Source!AT27)</f>
        <v>106</v>
      </c>
    </row>
    <row r="57" spans="1:28" x14ac:dyDescent="0.2">
      <c r="C57" s="11" t="s">
        <v>358</v>
      </c>
      <c r="D57" s="41"/>
      <c r="E57" s="41"/>
      <c r="F57" s="41">
        <f>Source!CA27</f>
        <v>63</v>
      </c>
      <c r="G57" s="66">
        <f>(Source!AF27+Source!AE27)*Source!FY27/100</f>
        <v>725.05628999999999</v>
      </c>
      <c r="H57" s="67">
        <f>Source!Y27</f>
        <v>7747.33</v>
      </c>
    </row>
    <row r="58" spans="1:28" x14ac:dyDescent="0.2">
      <c r="C58" s="11" t="s">
        <v>359</v>
      </c>
      <c r="D58" s="41"/>
      <c r="E58" s="41"/>
      <c r="F58" s="41"/>
      <c r="G58" s="41" t="str">
        <f>CONCATENATE(Source!DM27,Source!FU27, "=", Source!FY27, "%")</f>
        <v>*0,85=53,55%</v>
      </c>
      <c r="H58" s="41" t="str">
        <f>CONCATENATE(Source!AU27)</f>
        <v>54</v>
      </c>
    </row>
    <row r="59" spans="1:28" x14ac:dyDescent="0.2">
      <c r="C59" s="11" t="s">
        <v>360</v>
      </c>
      <c r="D59" s="41"/>
      <c r="E59" s="41"/>
      <c r="F59" s="41"/>
      <c r="G59" s="66">
        <f>((Source!AF27+Source!AE27)*Source!FX27/100)+((Source!AF27+Source!AE27)*Source!FY27/100)+Source!AB27</f>
        <v>12270.873049999998</v>
      </c>
      <c r="H59" s="67">
        <f>Source!O27+Source!X27+Source!Y27</f>
        <v>130059.23</v>
      </c>
    </row>
    <row r="60" spans="1:28" ht="39.75" x14ac:dyDescent="0.2">
      <c r="A60" s="54">
        <v>3</v>
      </c>
      <c r="B60" s="54" t="str">
        <f>Source!E29</f>
        <v>2,1</v>
      </c>
      <c r="C60" s="54" t="s">
        <v>306</v>
      </c>
      <c r="D60" s="54" t="str">
        <f>Source!F29</f>
        <v>Цена поставщика</v>
      </c>
      <c r="E60" s="37" t="str">
        <f>Source!H29</f>
        <v>м2</v>
      </c>
      <c r="F60" s="14">
        <f>Source!I29</f>
        <v>161.28</v>
      </c>
      <c r="G60" s="26">
        <f>Source!AB29</f>
        <v>446.07</v>
      </c>
      <c r="H60" s="27">
        <f>Source!O29</f>
        <v>472660.05</v>
      </c>
      <c r="T60">
        <f>Source!O29+Source!X29+Source!Y29</f>
        <v>472660.05</v>
      </c>
      <c r="U60">
        <f>Source!P29</f>
        <v>472660.05</v>
      </c>
      <c r="V60">
        <f>Source!S29</f>
        <v>0</v>
      </c>
      <c r="W60">
        <f>Source!Q29</f>
        <v>0</v>
      </c>
      <c r="X60">
        <f>Source!R29</f>
        <v>0</v>
      </c>
      <c r="Y60">
        <f>Source!U29</f>
        <v>0</v>
      </c>
      <c r="Z60">
        <f>Source!V29</f>
        <v>0</v>
      </c>
      <c r="AA60">
        <f>Source!X29</f>
        <v>0</v>
      </c>
      <c r="AB60">
        <f>Source!Y29</f>
        <v>0</v>
      </c>
    </row>
    <row r="61" spans="1:28" ht="14.25" x14ac:dyDescent="0.2">
      <c r="C61" s="28" t="s">
        <v>354</v>
      </c>
      <c r="D61" s="28">
        <f>Source!BC29</f>
        <v>6.57</v>
      </c>
      <c r="F61" s="14"/>
      <c r="G61" s="14"/>
      <c r="H61" s="14"/>
    </row>
    <row r="62" spans="1:28" ht="42.75" x14ac:dyDescent="0.2">
      <c r="A62" s="54">
        <v>4</v>
      </c>
      <c r="B62" s="54" t="str">
        <f>Source!E31</f>
        <v>3</v>
      </c>
      <c r="C62" s="54" t="str">
        <f>Source!G31</f>
        <v>Установка подоконных досок из ПВХ в каменных стенах толщиной свыше 0,51 м</v>
      </c>
      <c r="D62" s="54" t="str">
        <f>Source!F31</f>
        <v>10-01-035-03</v>
      </c>
      <c r="E62" s="37" t="str">
        <f>Source!H31</f>
        <v>100 м</v>
      </c>
      <c r="F62" s="14">
        <f>Source!I31</f>
        <v>1.1200000000000001</v>
      </c>
      <c r="G62" s="26">
        <f>Source!AB31</f>
        <v>6481.17</v>
      </c>
      <c r="H62" s="27">
        <f>Source!O31</f>
        <v>47691.040000000001</v>
      </c>
      <c r="T62">
        <f>Source!O31+Source!X31+Source!Y31</f>
        <v>49890.32</v>
      </c>
      <c r="U62">
        <f>Source!P31</f>
        <v>46187.94</v>
      </c>
      <c r="V62">
        <f>Source!S31</f>
        <v>1341.95</v>
      </c>
      <c r="W62">
        <f>Source!Q31</f>
        <v>161.15</v>
      </c>
      <c r="X62">
        <f>Source!R31</f>
        <v>32.6</v>
      </c>
      <c r="Y62">
        <f>Source!U31</f>
        <v>23.945600000000002</v>
      </c>
      <c r="Z62">
        <f>Source!V31</f>
        <v>0.41440000000000005</v>
      </c>
      <c r="AA62">
        <f>Source!X31</f>
        <v>1457.02</v>
      </c>
      <c r="AB62">
        <f>Source!Y31</f>
        <v>742.26</v>
      </c>
    </row>
    <row r="63" spans="1:28" ht="14.25" x14ac:dyDescent="0.2">
      <c r="C63" s="28" t="str">
        <f>"Объем: "&amp;Source!I31&amp;"=112/"&amp;"100"</f>
        <v>Объем: 1,12=112/100</v>
      </c>
      <c r="F63" s="14"/>
      <c r="G63" s="14"/>
      <c r="H63" s="14"/>
    </row>
    <row r="64" spans="1:28" x14ac:dyDescent="0.2">
      <c r="C64" s="28" t="s">
        <v>352</v>
      </c>
      <c r="D64" s="28">
        <f>Source!BA31</f>
        <v>6.57</v>
      </c>
    </row>
    <row r="65" spans="1:28" x14ac:dyDescent="0.2">
      <c r="C65" s="28" t="s">
        <v>353</v>
      </c>
      <c r="D65" s="28">
        <f>Source!BB31</f>
        <v>6.57</v>
      </c>
    </row>
    <row r="66" spans="1:28" x14ac:dyDescent="0.2">
      <c r="C66" s="28" t="s">
        <v>354</v>
      </c>
      <c r="D66" s="28">
        <f>Source!BC31</f>
        <v>6.57</v>
      </c>
    </row>
    <row r="67" spans="1:28" x14ac:dyDescent="0.2">
      <c r="C67" s="28" t="s">
        <v>355</v>
      </c>
      <c r="D67" s="28">
        <f>Source!BS31</f>
        <v>6.57</v>
      </c>
    </row>
    <row r="68" spans="1:28" x14ac:dyDescent="0.2">
      <c r="C68" s="11" t="s">
        <v>356</v>
      </c>
      <c r="D68" s="41"/>
      <c r="E68" s="41"/>
      <c r="F68" s="41">
        <f>Source!BZ31</f>
        <v>118</v>
      </c>
      <c r="G68" s="66">
        <f>(Source!AF31+Source!AE31)*Source!FX31/100</f>
        <v>198.38160000000005</v>
      </c>
      <c r="H68" s="67">
        <f>Source!X31</f>
        <v>1457.02</v>
      </c>
    </row>
    <row r="69" spans="1:28" x14ac:dyDescent="0.2">
      <c r="C69" s="11" t="s">
        <v>357</v>
      </c>
      <c r="D69" s="41"/>
      <c r="E69" s="41"/>
      <c r="F69" s="41"/>
      <c r="G69" s="41" t="str">
        <f>CONCATENATE(Source!DL31,Source!FT31, "=", Source!FX31, "%")</f>
        <v>*0,9=106,2%</v>
      </c>
      <c r="H69" s="41" t="str">
        <f>CONCATENATE(Source!AT31)</f>
        <v>106</v>
      </c>
    </row>
    <row r="70" spans="1:28" x14ac:dyDescent="0.2">
      <c r="C70" s="11" t="s">
        <v>358</v>
      </c>
      <c r="D70" s="41"/>
      <c r="E70" s="41"/>
      <c r="F70" s="41">
        <f>Source!CA31</f>
        <v>63</v>
      </c>
      <c r="G70" s="66">
        <f>(Source!AF31+Source!AE31)*Source!FY31/100</f>
        <v>100.03139999999999</v>
      </c>
      <c r="H70" s="67">
        <f>Source!Y31</f>
        <v>742.26</v>
      </c>
    </row>
    <row r="71" spans="1:28" x14ac:dyDescent="0.2">
      <c r="C71" s="11" t="s">
        <v>359</v>
      </c>
      <c r="D71" s="41"/>
      <c r="E71" s="41"/>
      <c r="F71" s="41"/>
      <c r="G71" s="41" t="str">
        <f>CONCATENATE(Source!DM31,Source!FU31, "=", Source!FY31, "%")</f>
        <v>*0,85=53,55%</v>
      </c>
      <c r="H71" s="41" t="str">
        <f>CONCATENATE(Source!AU31)</f>
        <v>54</v>
      </c>
    </row>
    <row r="72" spans="1:28" x14ac:dyDescent="0.2">
      <c r="C72" s="11" t="s">
        <v>360</v>
      </c>
      <c r="D72" s="41"/>
      <c r="E72" s="41"/>
      <c r="F72" s="41"/>
      <c r="G72" s="66">
        <f>((Source!AF31+Source!AE31)*Source!FX31/100)+((Source!AF31+Source!AE31)*Source!FY31/100)+Source!AB31</f>
        <v>6779.5830000000005</v>
      </c>
      <c r="H72" s="67">
        <f>Source!O31+Source!X31+Source!Y31</f>
        <v>49890.32</v>
      </c>
    </row>
    <row r="73" spans="1:28" ht="39.75" x14ac:dyDescent="0.2">
      <c r="A73" s="54">
        <v>5</v>
      </c>
      <c r="B73" s="54" t="str">
        <f>Source!E33</f>
        <v>3,1</v>
      </c>
      <c r="C73" s="54" t="s">
        <v>307</v>
      </c>
      <c r="D73" s="54" t="str">
        <f>Source!F33</f>
        <v>Цена поставщика</v>
      </c>
      <c r="E73" s="37" t="str">
        <f>Source!H33</f>
        <v>м</v>
      </c>
      <c r="F73" s="14">
        <f>Source!I33</f>
        <v>112</v>
      </c>
      <c r="G73" s="26">
        <f>Source!AB33</f>
        <v>232.01</v>
      </c>
      <c r="H73" s="27">
        <f>Source!O33</f>
        <v>170722.24</v>
      </c>
      <c r="T73">
        <f>Source!O33+Source!X33+Source!Y33</f>
        <v>170722.24</v>
      </c>
      <c r="U73">
        <f>Source!P33</f>
        <v>170722.24</v>
      </c>
      <c r="V73">
        <f>Source!S33</f>
        <v>0</v>
      </c>
      <c r="W73">
        <f>Source!Q33</f>
        <v>0</v>
      </c>
      <c r="X73">
        <f>Source!R33</f>
        <v>0</v>
      </c>
      <c r="Y73">
        <f>Source!U33</f>
        <v>0</v>
      </c>
      <c r="Z73">
        <f>Source!V33</f>
        <v>0</v>
      </c>
      <c r="AA73">
        <f>Source!X33</f>
        <v>0</v>
      </c>
      <c r="AB73">
        <f>Source!Y33</f>
        <v>0</v>
      </c>
    </row>
    <row r="74" spans="1:28" ht="14.25" x14ac:dyDescent="0.2">
      <c r="C74" s="28" t="s">
        <v>354</v>
      </c>
      <c r="D74" s="28">
        <f>Source!BC33</f>
        <v>6.57</v>
      </c>
      <c r="F74" s="14"/>
      <c r="G74" s="14"/>
      <c r="H74" s="14"/>
    </row>
    <row r="75" spans="1:28" ht="42.75" x14ac:dyDescent="0.2">
      <c r="A75" s="54">
        <v>6</v>
      </c>
      <c r="B75" s="54" t="str">
        <f>Source!E35</f>
        <v>4</v>
      </c>
      <c r="C75" s="54" t="str">
        <f>Source!G35</f>
        <v>Смена обделок из листовой стали (поясков, сандриков, отливов, карнизов) шириной до 0,4 м</v>
      </c>
      <c r="D75" s="54" t="str">
        <f>Source!F35</f>
        <v>58-20-1</v>
      </c>
      <c r="E75" s="37" t="str">
        <f>Source!H35</f>
        <v>100 м</v>
      </c>
      <c r="F75" s="14">
        <f>Source!I35</f>
        <v>1.1200000000000001</v>
      </c>
      <c r="G75" s="26">
        <f>Source!AB35</f>
        <v>454.41</v>
      </c>
      <c r="H75" s="27">
        <f>Source!O35</f>
        <v>3343.73</v>
      </c>
      <c r="T75">
        <f>Source!O35+Source!X35+Source!Y35</f>
        <v>7207.33</v>
      </c>
      <c r="U75">
        <f>Source!P35</f>
        <v>706.77</v>
      </c>
      <c r="V75">
        <f>Source!S35</f>
        <v>2599.21</v>
      </c>
      <c r="W75">
        <f>Source!Q35</f>
        <v>37.75</v>
      </c>
      <c r="X75">
        <f>Source!R35</f>
        <v>11.33</v>
      </c>
      <c r="Y75">
        <f>Source!U35</f>
        <v>46.379199999999997</v>
      </c>
      <c r="Z75">
        <f>Source!V35</f>
        <v>0.13440000000000002</v>
      </c>
      <c r="AA75">
        <f>Source!X35</f>
        <v>2166.75</v>
      </c>
      <c r="AB75">
        <f>Source!Y35</f>
        <v>1696.85</v>
      </c>
    </row>
    <row r="76" spans="1:28" ht="14.25" x14ac:dyDescent="0.2">
      <c r="C76" s="28" t="str">
        <f>"Объем: "&amp;Source!I35&amp;"=112/"&amp;"100"</f>
        <v>Объем: 1,12=112/100</v>
      </c>
      <c r="F76" s="14"/>
      <c r="G76" s="14"/>
      <c r="H76" s="14"/>
    </row>
    <row r="77" spans="1:28" x14ac:dyDescent="0.2">
      <c r="C77" s="28" t="s">
        <v>352</v>
      </c>
      <c r="D77" s="28">
        <f>Source!BA35</f>
        <v>6.57</v>
      </c>
    </row>
    <row r="78" spans="1:28" x14ac:dyDescent="0.2">
      <c r="C78" s="28" t="s">
        <v>353</v>
      </c>
      <c r="D78" s="28">
        <f>Source!BB35</f>
        <v>6.57</v>
      </c>
    </row>
    <row r="79" spans="1:28" x14ac:dyDescent="0.2">
      <c r="C79" s="28" t="s">
        <v>354</v>
      </c>
      <c r="D79" s="28">
        <f>Source!BC35</f>
        <v>6.57</v>
      </c>
    </row>
    <row r="80" spans="1:28" x14ac:dyDescent="0.2">
      <c r="C80" s="28" t="s">
        <v>355</v>
      </c>
      <c r="D80" s="28">
        <f>Source!BS35</f>
        <v>6.57</v>
      </c>
    </row>
    <row r="81" spans="1:28" x14ac:dyDescent="0.2">
      <c r="C81" s="11" t="s">
        <v>356</v>
      </c>
      <c r="D81" s="41"/>
      <c r="E81" s="41"/>
      <c r="F81" s="41">
        <f>Source!BZ35</f>
        <v>83</v>
      </c>
      <c r="G81" s="66">
        <f>(Source!AF35+Source!AE35)*Source!FX35/100</f>
        <v>294.45910000000003</v>
      </c>
      <c r="H81" s="67">
        <f>Source!X35</f>
        <v>2166.75</v>
      </c>
    </row>
    <row r="82" spans="1:28" x14ac:dyDescent="0.2">
      <c r="C82" s="11" t="s">
        <v>358</v>
      </c>
      <c r="D82" s="41"/>
      <c r="E82" s="41"/>
      <c r="F82" s="41">
        <f>Source!CA35</f>
        <v>65</v>
      </c>
      <c r="G82" s="66">
        <f>(Source!AF35+Source!AE35)*Source!FY35/100</f>
        <v>230.60050000000004</v>
      </c>
      <c r="H82" s="67">
        <f>Source!Y35</f>
        <v>1696.85</v>
      </c>
    </row>
    <row r="83" spans="1:28" x14ac:dyDescent="0.2">
      <c r="C83" s="11" t="s">
        <v>360</v>
      </c>
      <c r="D83" s="41"/>
      <c r="E83" s="41"/>
      <c r="F83" s="41"/>
      <c r="G83" s="66">
        <f>((Source!AF35+Source!AE35)*Source!FX35/100)+((Source!AF35+Source!AE35)*Source!FY35/100)+Source!AB35</f>
        <v>979.46960000000013</v>
      </c>
      <c r="H83" s="67">
        <f>Source!O35+Source!X35+Source!Y35</f>
        <v>7207.33</v>
      </c>
    </row>
    <row r="84" spans="1:28" ht="68.25" x14ac:dyDescent="0.2">
      <c r="A84" s="54">
        <v>7</v>
      </c>
      <c r="B84" s="54" t="str">
        <f>Source!E37</f>
        <v>4,1</v>
      </c>
      <c r="C84" s="54" t="s">
        <v>308</v>
      </c>
      <c r="D84" s="54" t="str">
        <f>Source!F37</f>
        <v>Цена поставщика</v>
      </c>
      <c r="E84" s="37" t="str">
        <f>Source!H37</f>
        <v>м</v>
      </c>
      <c r="F84" s="14">
        <f>Source!I37</f>
        <v>112</v>
      </c>
      <c r="G84" s="26">
        <f>Source!AB37</f>
        <v>28.64</v>
      </c>
      <c r="H84" s="27">
        <f>Source!O37</f>
        <v>21074.46</v>
      </c>
      <c r="T84">
        <f>Source!O37+Source!X37+Source!Y37</f>
        <v>21074.46</v>
      </c>
      <c r="U84">
        <f>Source!P37</f>
        <v>21074.46</v>
      </c>
      <c r="V84">
        <f>Source!S37</f>
        <v>0</v>
      </c>
      <c r="W84">
        <f>Source!Q37</f>
        <v>0</v>
      </c>
      <c r="X84">
        <f>Source!R37</f>
        <v>0</v>
      </c>
      <c r="Y84">
        <f>Source!U37</f>
        <v>0</v>
      </c>
      <c r="Z84">
        <f>Source!V37</f>
        <v>0</v>
      </c>
      <c r="AA84">
        <f>Source!X37</f>
        <v>0</v>
      </c>
      <c r="AB84">
        <f>Source!Y37</f>
        <v>0</v>
      </c>
    </row>
    <row r="85" spans="1:28" ht="14.25" x14ac:dyDescent="0.2">
      <c r="C85" s="28" t="s">
        <v>354</v>
      </c>
      <c r="D85" s="28">
        <f>Source!BC37</f>
        <v>6.57</v>
      </c>
      <c r="F85" s="14"/>
      <c r="G85" s="14"/>
      <c r="H85" s="14"/>
    </row>
    <row r="86" spans="1:28" ht="57" x14ac:dyDescent="0.2">
      <c r="A86" s="54">
        <v>8</v>
      </c>
      <c r="B86" s="54" t="str">
        <f>Source!E39</f>
        <v>5</v>
      </c>
      <c r="C86" s="54" t="str">
        <f>Source!G39</f>
        <v>Облицовка оконных и дверных откосов декоративным бумажно-слоистым пластиком или листами из синтетических материалов на клее</v>
      </c>
      <c r="D86" s="54" t="str">
        <f>Source!F39</f>
        <v>15-01-050-04</v>
      </c>
      <c r="E86" s="37" t="str">
        <f>Source!H39</f>
        <v>100 м2</v>
      </c>
      <c r="F86" s="14">
        <f>Source!I39</f>
        <v>1.4847999999999999</v>
      </c>
      <c r="G86" s="26">
        <f>Source!AB39</f>
        <v>1563.91</v>
      </c>
      <c r="H86" s="27">
        <f>Source!O39</f>
        <v>15256.15</v>
      </c>
      <c r="T86">
        <f>Source!O39+Source!X39+Source!Y39</f>
        <v>36520.400000000001</v>
      </c>
      <c r="U86">
        <f>Source!P39</f>
        <v>3.51</v>
      </c>
      <c r="V86">
        <f>Source!S39</f>
        <v>14907.7</v>
      </c>
      <c r="W86">
        <f>Source!Q39</f>
        <v>344.94</v>
      </c>
      <c r="X86">
        <f>Source!R39</f>
        <v>67.12</v>
      </c>
      <c r="Y86">
        <f>Source!U39</f>
        <v>247.17465599999997</v>
      </c>
      <c r="Z86">
        <f>Source!V39</f>
        <v>0.86118399999999984</v>
      </c>
      <c r="AA86">
        <f>Source!X39</f>
        <v>14226.08</v>
      </c>
      <c r="AB86">
        <f>Source!Y39</f>
        <v>7038.17</v>
      </c>
    </row>
    <row r="87" spans="1:28" ht="14.25" x14ac:dyDescent="0.2">
      <c r="C87" s="28" t="str">
        <f>"Объем: "&amp;Source!I39&amp;"=148,48/"&amp;"100"</f>
        <v>Объем: 1,4848=148,48/100</v>
      </c>
      <c r="F87" s="14"/>
      <c r="G87" s="14"/>
      <c r="H87" s="14"/>
    </row>
    <row r="88" spans="1:28" x14ac:dyDescent="0.2">
      <c r="C88" s="28" t="s">
        <v>352</v>
      </c>
      <c r="D88" s="28">
        <f>Source!BA39</f>
        <v>6.57</v>
      </c>
    </row>
    <row r="89" spans="1:28" x14ac:dyDescent="0.2">
      <c r="C89" s="28" t="s">
        <v>353</v>
      </c>
      <c r="D89" s="28">
        <f>Source!BB39</f>
        <v>6.57</v>
      </c>
    </row>
    <row r="90" spans="1:28" x14ac:dyDescent="0.2">
      <c r="C90" s="28" t="s">
        <v>354</v>
      </c>
      <c r="D90" s="28">
        <f>Source!BC39</f>
        <v>6.57</v>
      </c>
    </row>
    <row r="91" spans="1:28" x14ac:dyDescent="0.2">
      <c r="C91" s="28" t="s">
        <v>355</v>
      </c>
      <c r="D91" s="28">
        <f>Source!BS39</f>
        <v>6.57</v>
      </c>
    </row>
    <row r="92" spans="1:28" x14ac:dyDescent="0.2">
      <c r="C92" s="11" t="s">
        <v>356</v>
      </c>
      <c r="D92" s="41"/>
      <c r="E92" s="41"/>
      <c r="F92" s="41">
        <f>Source!BZ39</f>
        <v>105</v>
      </c>
      <c r="G92" s="66">
        <f>(Source!AF39+Source!AE39)*Source!FX39/100</f>
        <v>1450.6411500000002</v>
      </c>
      <c r="H92" s="67">
        <f>Source!X39</f>
        <v>14226.08</v>
      </c>
    </row>
    <row r="93" spans="1:28" x14ac:dyDescent="0.2">
      <c r="C93" s="11" t="s">
        <v>357</v>
      </c>
      <c r="D93" s="41"/>
      <c r="E93" s="41"/>
      <c r="F93" s="41"/>
      <c r="G93" s="41" t="str">
        <f>CONCATENATE(Source!DL39,Source!FT39, "=", Source!FX39, "%")</f>
        <v>*0,9=94,5%</v>
      </c>
      <c r="H93" s="41" t="str">
        <f>CONCATENATE(Source!AT39)</f>
        <v>95</v>
      </c>
    </row>
    <row r="94" spans="1:28" x14ac:dyDescent="0.2">
      <c r="C94" s="11" t="s">
        <v>358</v>
      </c>
      <c r="D94" s="41"/>
      <c r="E94" s="41"/>
      <c r="F94" s="41">
        <f>Source!CA39</f>
        <v>55</v>
      </c>
      <c r="G94" s="66">
        <f>(Source!AF39+Source!AE39)*Source!FY39/100</f>
        <v>717.6452250000001</v>
      </c>
      <c r="H94" s="67">
        <f>Source!Y39</f>
        <v>7038.17</v>
      </c>
    </row>
    <row r="95" spans="1:28" x14ac:dyDescent="0.2">
      <c r="C95" s="11" t="s">
        <v>359</v>
      </c>
      <c r="D95" s="41"/>
      <c r="E95" s="41"/>
      <c r="F95" s="41"/>
      <c r="G95" s="41" t="str">
        <f>CONCATENATE(Source!DM39,Source!FU39, "=", Source!FY39, "%")</f>
        <v>*0,85=46,75%</v>
      </c>
      <c r="H95" s="41" t="str">
        <f>CONCATENATE(Source!AU39)</f>
        <v>47</v>
      </c>
    </row>
    <row r="96" spans="1:28" x14ac:dyDescent="0.2">
      <c r="C96" s="11" t="s">
        <v>360</v>
      </c>
      <c r="D96" s="41"/>
      <c r="E96" s="41"/>
      <c r="F96" s="41"/>
      <c r="G96" s="66">
        <f>((Source!AF39+Source!AE39)*Source!FX39/100)+((Source!AF39+Source!AE39)*Source!FY39/100)+Source!AB39</f>
        <v>3732.1963750000004</v>
      </c>
      <c r="H96" s="67">
        <f>Source!O39+Source!X39+Source!Y39</f>
        <v>36520.400000000001</v>
      </c>
    </row>
    <row r="97" spans="1:28" ht="14.25" x14ac:dyDescent="0.2">
      <c r="A97" s="54">
        <v>9</v>
      </c>
      <c r="B97" s="54" t="str">
        <f>Source!E41</f>
        <v>5,1</v>
      </c>
      <c r="C97" s="54" t="str">
        <f>Source!G41</f>
        <v>Листы облицовочные декоративные</v>
      </c>
      <c r="D97" s="54" t="str">
        <f>Source!F41</f>
        <v>01.6.01.11</v>
      </c>
      <c r="E97" s="37" t="str">
        <f>Source!H41</f>
        <v>м2</v>
      </c>
      <c r="F97" s="14">
        <f>Source!I41</f>
        <v>155.904</v>
      </c>
      <c r="G97" s="26">
        <f>Source!AB41</f>
        <v>0</v>
      </c>
      <c r="H97" s="27">
        <f>Source!O41</f>
        <v>0</v>
      </c>
      <c r="T97">
        <f>Source!O41+Source!X41+Source!Y41</f>
        <v>0</v>
      </c>
      <c r="U97">
        <f>Source!P41</f>
        <v>0</v>
      </c>
      <c r="V97">
        <f>Source!S41</f>
        <v>0</v>
      </c>
      <c r="W97">
        <f>Source!Q41</f>
        <v>0</v>
      </c>
      <c r="X97">
        <f>Source!R41</f>
        <v>0</v>
      </c>
      <c r="Y97">
        <f>Source!U41</f>
        <v>0</v>
      </c>
      <c r="Z97">
        <f>Source!V41</f>
        <v>0</v>
      </c>
      <c r="AA97">
        <f>Source!X41</f>
        <v>0</v>
      </c>
      <c r="AB97">
        <f>Source!Y41</f>
        <v>0</v>
      </c>
    </row>
    <row r="98" spans="1:28" ht="14.25" x14ac:dyDescent="0.2">
      <c r="C98" s="28" t="s">
        <v>354</v>
      </c>
      <c r="D98" s="28">
        <f>Source!BC41</f>
        <v>6.57</v>
      </c>
      <c r="F98" s="14"/>
      <c r="G98" s="14"/>
      <c r="H98" s="14"/>
    </row>
    <row r="99" spans="1:28" ht="42.75" x14ac:dyDescent="0.2">
      <c r="A99" s="54">
        <v>10</v>
      </c>
      <c r="B99" s="54" t="str">
        <f>Source!E43</f>
        <v>5,2</v>
      </c>
      <c r="C99" s="54" t="str">
        <f>Source!G43</f>
        <v>Панели пластиковые для откосов "Реас Пласт" шириной 0,4 м, длиной 3,0 м, белые матовые, лакированные</v>
      </c>
      <c r="D99" s="54" t="str">
        <f>Source!F43</f>
        <v>11.3.03.05-0001</v>
      </c>
      <c r="E99" s="37" t="str">
        <f>Source!H43</f>
        <v>м2</v>
      </c>
      <c r="F99" s="14">
        <f>Source!I43</f>
        <v>155.904</v>
      </c>
      <c r="G99" s="26">
        <f>Source!AB43</f>
        <v>34.380000000000003</v>
      </c>
      <c r="H99" s="27">
        <f>Source!O43</f>
        <v>35215.07</v>
      </c>
      <c r="T99">
        <f>Source!O43+Source!X43+Source!Y43</f>
        <v>35215.07</v>
      </c>
      <c r="U99">
        <f>Source!P43</f>
        <v>35215.07</v>
      </c>
      <c r="V99">
        <f>Source!S43</f>
        <v>0</v>
      </c>
      <c r="W99">
        <f>Source!Q43</f>
        <v>0</v>
      </c>
      <c r="X99">
        <f>Source!R43</f>
        <v>0</v>
      </c>
      <c r="Y99">
        <f>Source!U43</f>
        <v>0</v>
      </c>
      <c r="Z99">
        <f>Source!V43</f>
        <v>0</v>
      </c>
      <c r="AA99">
        <f>Source!X43</f>
        <v>0</v>
      </c>
      <c r="AB99">
        <f>Source!Y43</f>
        <v>0</v>
      </c>
    </row>
    <row r="100" spans="1:28" ht="14.25" x14ac:dyDescent="0.2">
      <c r="C100" s="28" t="s">
        <v>354</v>
      </c>
      <c r="D100" s="28">
        <f>Source!BC43</f>
        <v>6.57</v>
      </c>
      <c r="F100" s="14"/>
      <c r="G100" s="14"/>
      <c r="H100" s="14"/>
    </row>
    <row r="101" spans="1:28" ht="14.25" x14ac:dyDescent="0.2">
      <c r="A101" s="54">
        <v>11</v>
      </c>
      <c r="B101" s="54" t="str">
        <f>Source!E45</f>
        <v>5,3</v>
      </c>
      <c r="C101" s="54" t="str">
        <f>Source!G45</f>
        <v>Клей</v>
      </c>
      <c r="D101" s="54" t="str">
        <f>Source!F45</f>
        <v>14.1.06.05</v>
      </c>
      <c r="E101" s="37" t="str">
        <f>Source!H45</f>
        <v>кг</v>
      </c>
      <c r="F101" s="14">
        <f>Source!I45</f>
        <v>44.543999999999997</v>
      </c>
      <c r="G101" s="26">
        <f>Source!AB45</f>
        <v>0</v>
      </c>
      <c r="H101" s="27">
        <f>Source!O45</f>
        <v>0</v>
      </c>
      <c r="T101">
        <f>Source!O45+Source!X45+Source!Y45</f>
        <v>0</v>
      </c>
      <c r="U101">
        <f>Source!P45</f>
        <v>0</v>
      </c>
      <c r="V101">
        <f>Source!S45</f>
        <v>0</v>
      </c>
      <c r="W101">
        <f>Source!Q45</f>
        <v>0</v>
      </c>
      <c r="X101">
        <f>Source!R45</f>
        <v>0</v>
      </c>
      <c r="Y101">
        <f>Source!U45</f>
        <v>0</v>
      </c>
      <c r="Z101">
        <f>Source!V45</f>
        <v>0</v>
      </c>
      <c r="AA101">
        <f>Source!X45</f>
        <v>0</v>
      </c>
      <c r="AB101">
        <f>Source!Y45</f>
        <v>0</v>
      </c>
    </row>
    <row r="102" spans="1:28" ht="14.25" x14ac:dyDescent="0.2">
      <c r="C102" s="28" t="s">
        <v>354</v>
      </c>
      <c r="D102" s="28">
        <f>Source!BC45</f>
        <v>6.57</v>
      </c>
      <c r="F102" s="14"/>
      <c r="G102" s="14"/>
      <c r="H102" s="14"/>
    </row>
    <row r="103" spans="1:28" ht="28.5" x14ac:dyDescent="0.2">
      <c r="A103" s="54">
        <v>12</v>
      </c>
      <c r="B103" s="54" t="str">
        <f>Source!E47</f>
        <v>5,4</v>
      </c>
      <c r="C103" s="54" t="str">
        <f>Source!G47</f>
        <v>Клей ПВА</v>
      </c>
      <c r="D103" s="54" t="str">
        <f>Source!F47</f>
        <v>14.1.02.03-0002</v>
      </c>
      <c r="E103" s="37" t="str">
        <f>Source!H47</f>
        <v>кг</v>
      </c>
      <c r="F103" s="14">
        <f>Source!I47</f>
        <v>44.543999999999997</v>
      </c>
      <c r="G103" s="26">
        <f>Source!AB47</f>
        <v>15.9</v>
      </c>
      <c r="H103" s="27">
        <f>Source!O47</f>
        <v>4653.2</v>
      </c>
      <c r="T103">
        <f>Source!O47+Source!X47+Source!Y47</f>
        <v>4653.2</v>
      </c>
      <c r="U103">
        <f>Source!P47</f>
        <v>4653.2</v>
      </c>
      <c r="V103">
        <f>Source!S47</f>
        <v>0</v>
      </c>
      <c r="W103">
        <f>Source!Q47</f>
        <v>0</v>
      </c>
      <c r="X103">
        <f>Source!R47</f>
        <v>0</v>
      </c>
      <c r="Y103">
        <f>Source!U47</f>
        <v>0</v>
      </c>
      <c r="Z103">
        <f>Source!V47</f>
        <v>0</v>
      </c>
      <c r="AA103">
        <f>Source!X47</f>
        <v>0</v>
      </c>
      <c r="AB103">
        <f>Source!Y47</f>
        <v>0</v>
      </c>
    </row>
    <row r="104" spans="1:28" ht="14.25" x14ac:dyDescent="0.2">
      <c r="C104" s="28" t="s">
        <v>354</v>
      </c>
      <c r="D104" s="28">
        <f>Source!BC47</f>
        <v>6.57</v>
      </c>
      <c r="F104" s="14"/>
      <c r="G104" s="14"/>
      <c r="H104" s="14"/>
    </row>
    <row r="105" spans="1:28" ht="28.5" x14ac:dyDescent="0.2">
      <c r="A105" s="54">
        <v>13</v>
      </c>
      <c r="B105" s="54" t="str">
        <f>Source!E49</f>
        <v>5,5</v>
      </c>
      <c r="C105" s="54" t="str">
        <f>Source!G49</f>
        <v>Грунтовка: «Бетоконтакт», КНАУФ</v>
      </c>
      <c r="D105" s="54" t="str">
        <f>Source!F49</f>
        <v>14.3.01.01-0001</v>
      </c>
      <c r="E105" s="37" t="str">
        <f>Source!H49</f>
        <v>кг</v>
      </c>
      <c r="F105" s="14">
        <f>Source!I49</f>
        <v>13.215000000000002</v>
      </c>
      <c r="G105" s="26">
        <f>Source!AB49</f>
        <v>15.09</v>
      </c>
      <c r="H105" s="27">
        <f>Source!O49</f>
        <v>1310.1500000000001</v>
      </c>
      <c r="T105">
        <f>Source!O49+Source!X49+Source!Y49</f>
        <v>1310.1500000000001</v>
      </c>
      <c r="U105">
        <f>Source!P49</f>
        <v>1310.1500000000001</v>
      </c>
      <c r="V105">
        <f>Source!S49</f>
        <v>0</v>
      </c>
      <c r="W105">
        <f>Source!Q49</f>
        <v>0</v>
      </c>
      <c r="X105">
        <f>Source!R49</f>
        <v>0</v>
      </c>
      <c r="Y105">
        <f>Source!U49</f>
        <v>0</v>
      </c>
      <c r="Z105">
        <f>Source!V49</f>
        <v>0</v>
      </c>
      <c r="AA105">
        <f>Source!X49</f>
        <v>0</v>
      </c>
      <c r="AB105">
        <f>Source!Y49</f>
        <v>0</v>
      </c>
    </row>
    <row r="106" spans="1:28" ht="14.25" x14ac:dyDescent="0.2">
      <c r="C106" s="28" t="s">
        <v>354</v>
      </c>
      <c r="D106" s="28">
        <f>Source!BC49</f>
        <v>6.57</v>
      </c>
      <c r="F106" s="14"/>
      <c r="G106" s="14"/>
      <c r="H106" s="14"/>
    </row>
    <row r="107" spans="1:28" ht="14.25" x14ac:dyDescent="0.2">
      <c r="A107" s="54">
        <v>14</v>
      </c>
      <c r="B107" s="54" t="str">
        <f>Source!E51</f>
        <v>5,6</v>
      </c>
      <c r="C107" s="54" t="str">
        <f>Source!G51</f>
        <v>Грунтовка</v>
      </c>
      <c r="D107" s="54" t="str">
        <f>Source!F51</f>
        <v>14.4.01.21</v>
      </c>
      <c r="E107" s="37" t="str">
        <f>Source!H51</f>
        <v>т</v>
      </c>
      <c r="F107" s="14">
        <f>Source!I51</f>
        <v>1.3215000000000001E-2</v>
      </c>
      <c r="G107" s="26">
        <f>Source!AB51</f>
        <v>0</v>
      </c>
      <c r="H107" s="27">
        <f>Source!O51</f>
        <v>0</v>
      </c>
      <c r="T107">
        <f>Source!O51+Source!X51+Source!Y51</f>
        <v>0</v>
      </c>
      <c r="U107">
        <f>Source!P51</f>
        <v>0</v>
      </c>
      <c r="V107">
        <f>Source!S51</f>
        <v>0</v>
      </c>
      <c r="W107">
        <f>Source!Q51</f>
        <v>0</v>
      </c>
      <c r="X107">
        <f>Source!R51</f>
        <v>0</v>
      </c>
      <c r="Y107">
        <f>Source!U51</f>
        <v>0</v>
      </c>
      <c r="Z107">
        <f>Source!V51</f>
        <v>0</v>
      </c>
      <c r="AA107">
        <f>Source!X51</f>
        <v>0</v>
      </c>
      <c r="AB107">
        <f>Source!Y51</f>
        <v>0</v>
      </c>
    </row>
    <row r="108" spans="1:28" ht="14.25" x14ac:dyDescent="0.2">
      <c r="C108" s="28" t="s">
        <v>354</v>
      </c>
      <c r="D108" s="28">
        <f>Source!BC51</f>
        <v>6.57</v>
      </c>
      <c r="F108" s="14"/>
      <c r="G108" s="14"/>
      <c r="H108" s="14"/>
    </row>
    <row r="109" spans="1:28" ht="42.75" x14ac:dyDescent="0.2">
      <c r="A109" s="54">
        <v>15</v>
      </c>
      <c r="B109" s="54" t="str">
        <f>Source!E53</f>
        <v>6</v>
      </c>
      <c r="C109" s="54" t="str">
        <f>Source!G53</f>
        <v>Погрузочные работы при автомобильных перевозках мусора строительного с погрузкой вручную</v>
      </c>
      <c r="D109" s="54" t="str">
        <f>Source!F53</f>
        <v>т01-01-01-041</v>
      </c>
      <c r="E109" s="37" t="str">
        <f>Source!H53</f>
        <v>1 Т ГРУЗА</v>
      </c>
      <c r="F109" s="14">
        <f>Source!I53</f>
        <v>1.5</v>
      </c>
      <c r="G109" s="26">
        <f>Source!AB53</f>
        <v>42.98</v>
      </c>
      <c r="H109" s="27">
        <f>Source!GM53</f>
        <v>423.57</v>
      </c>
      <c r="T109">
        <f>Source!GM53</f>
        <v>423.57</v>
      </c>
      <c r="U109">
        <f>Source!P53</f>
        <v>0</v>
      </c>
      <c r="V109">
        <f>Source!S53</f>
        <v>0</v>
      </c>
      <c r="W109">
        <f>Source!Q53</f>
        <v>0</v>
      </c>
      <c r="X109">
        <f>Source!R53</f>
        <v>0</v>
      </c>
      <c r="Y109">
        <f>Source!U53</f>
        <v>0</v>
      </c>
      <c r="Z109">
        <f>Source!V53</f>
        <v>0</v>
      </c>
      <c r="AA109">
        <f>Source!X53</f>
        <v>0</v>
      </c>
      <c r="AB109">
        <f>Source!Y53</f>
        <v>0</v>
      </c>
    </row>
    <row r="110" spans="1:28" ht="14.25" x14ac:dyDescent="0.2">
      <c r="C110" s="28" t="s">
        <v>361</v>
      </c>
      <c r="D110" s="28">
        <f>Source!AZ53</f>
        <v>6.57</v>
      </c>
      <c r="F110" s="14"/>
      <c r="G110" s="14"/>
      <c r="H110" s="14"/>
    </row>
    <row r="111" spans="1:28" ht="57" x14ac:dyDescent="0.2">
      <c r="A111" s="54">
        <v>16</v>
      </c>
      <c r="B111" s="54" t="str">
        <f>Source!E55</f>
        <v>7</v>
      </c>
      <c r="C111" s="54" t="str">
        <f>Source!G55</f>
        <v>Перевозка грузов I класса автомобилями-самосвалами грузоподъемностью 10 т работающих вне карьера на расстояние до 15 км</v>
      </c>
      <c r="D111" s="54" t="str">
        <f>Source!F55</f>
        <v>т03-21-01-015</v>
      </c>
      <c r="E111" s="37" t="str">
        <f>Source!H55</f>
        <v>1 Т ГРУЗА</v>
      </c>
      <c r="F111" s="14">
        <f>Source!I55</f>
        <v>1.5</v>
      </c>
      <c r="G111" s="26">
        <f>Source!AB55</f>
        <v>13.38</v>
      </c>
      <c r="H111" s="27">
        <f>Source!GM55</f>
        <v>131.86000000000001</v>
      </c>
      <c r="T111">
        <f>Source!GM55</f>
        <v>131.86000000000001</v>
      </c>
      <c r="U111">
        <f>Source!P55</f>
        <v>0</v>
      </c>
      <c r="V111">
        <f>Source!S55</f>
        <v>0</v>
      </c>
      <c r="W111">
        <f>Source!Q55</f>
        <v>0</v>
      </c>
      <c r="X111">
        <f>Source!R55</f>
        <v>0</v>
      </c>
      <c r="Y111">
        <f>Source!U55</f>
        <v>0</v>
      </c>
      <c r="Z111">
        <f>Source!V55</f>
        <v>0</v>
      </c>
      <c r="AA111">
        <f>Source!X55</f>
        <v>0</v>
      </c>
      <c r="AB111">
        <f>Source!Y55</f>
        <v>0</v>
      </c>
    </row>
    <row r="112" spans="1:28" ht="14.25" x14ac:dyDescent="0.2">
      <c r="C112" s="28" t="s">
        <v>361</v>
      </c>
      <c r="D112" s="28">
        <f>Source!AZ55</f>
        <v>6.57</v>
      </c>
      <c r="F112" s="14"/>
      <c r="G112" s="14"/>
      <c r="H112" s="14"/>
    </row>
    <row r="114" spans="1:33" ht="15" x14ac:dyDescent="0.25">
      <c r="A114" s="68"/>
      <c r="B114" s="68"/>
      <c r="C114" s="83" t="str">
        <f>CONCATENATE("Итого по локальной смете: ",IF(Source!G57&lt;&gt;"Новая локальная смета", Source!G57, ""))</f>
        <v xml:space="preserve">Итого по локальной смете: </v>
      </c>
      <c r="D114" s="83"/>
      <c r="E114" s="83"/>
      <c r="F114" s="83"/>
      <c r="G114" s="68"/>
      <c r="H114" s="69">
        <f>IF(SUM(T37:T113)=0, "-", SUM(T37:T113))</f>
        <v>976051.93999999971</v>
      </c>
    </row>
    <row r="115" spans="1:33" ht="15" x14ac:dyDescent="0.25">
      <c r="A115" s="68"/>
      <c r="B115" s="68"/>
      <c r="C115" s="68"/>
      <c r="D115" s="68"/>
      <c r="E115" s="68"/>
      <c r="F115" s="68"/>
      <c r="G115" s="68"/>
      <c r="H115" s="68"/>
    </row>
    <row r="117" spans="1:33" ht="14.25" x14ac:dyDescent="0.2">
      <c r="C117" s="93" t="str">
        <f>Source!H85</f>
        <v>Всего</v>
      </c>
      <c r="D117" s="93"/>
      <c r="E117" s="93"/>
      <c r="F117" s="93"/>
      <c r="G117" s="80">
        <f>IF(Source!P85=0, "", Source!P85)</f>
        <v>976051.94</v>
      </c>
      <c r="H117" s="80"/>
    </row>
    <row r="118" spans="1:33" ht="14.25" x14ac:dyDescent="0.2">
      <c r="C118" s="93" t="str">
        <f>Source!H86</f>
        <v>Итого НДС 18%</v>
      </c>
      <c r="D118" s="93"/>
      <c r="E118" s="93"/>
      <c r="F118" s="93"/>
      <c r="G118" s="80">
        <f>IF(Source!P86=0, "", Source!P86)</f>
        <v>175689.35</v>
      </c>
      <c r="H118" s="80"/>
    </row>
    <row r="119" spans="1:33" ht="14.25" x14ac:dyDescent="0.2">
      <c r="C119" s="93" t="str">
        <f>Source!H87</f>
        <v>Всего по смете</v>
      </c>
      <c r="D119" s="93"/>
      <c r="E119" s="93"/>
      <c r="F119" s="93"/>
      <c r="G119" s="80">
        <f>IF(Source!P87=0, "", Source!P87)</f>
        <v>1151741.29</v>
      </c>
      <c r="H119" s="80"/>
    </row>
    <row r="121" spans="1:33" ht="30" x14ac:dyDescent="0.25">
      <c r="A121" s="68"/>
      <c r="B121" s="68"/>
      <c r="C121" s="83" t="str">
        <f>CONCATENATE("Итого по смете: ",IF(Source!G89&lt;&gt;"Новый объект", Source!G89, ""))</f>
        <v>Итого по смете: Капитальный ремонт окооных проемов общежития ДИТИ НИЯУ МИФИ_цена поставщика</v>
      </c>
      <c r="D121" s="83"/>
      <c r="E121" s="83"/>
      <c r="F121" s="83"/>
      <c r="G121" s="68"/>
      <c r="H121" s="69">
        <f>IF(SUM(T1:T120)=0, "-", SUM(T1:T120))</f>
        <v>976051.93999999971</v>
      </c>
      <c r="AG121" s="59" t="str">
        <f>CONCATENATE("Итого по смете: ",IF(Source!G89&lt;&gt;"Новый объект", Source!G89, ""))</f>
        <v>Итого по смете: Капитальный ремонт окооных проемов общежития ДИТИ НИЯУ МИФИ_цена поставщика</v>
      </c>
    </row>
    <row r="122" spans="1:33" ht="15" x14ac:dyDescent="0.25">
      <c r="A122" s="68"/>
      <c r="B122" s="68"/>
      <c r="C122" s="68"/>
      <c r="D122" s="68"/>
      <c r="E122" s="68"/>
      <c r="F122" s="68"/>
      <c r="G122" s="68"/>
      <c r="H122" s="68"/>
    </row>
    <row r="123" spans="1:33" ht="14.25" x14ac:dyDescent="0.2">
      <c r="C123" s="93" t="str">
        <f>Source!H117</f>
        <v>Всего</v>
      </c>
      <c r="D123" s="93"/>
      <c r="E123" s="93"/>
      <c r="F123" s="93"/>
      <c r="G123" s="80">
        <f>IF(Source!P117=0, "", Source!P117)</f>
        <v>976051.94</v>
      </c>
      <c r="H123" s="80"/>
    </row>
    <row r="124" spans="1:33" ht="14.25" x14ac:dyDescent="0.2">
      <c r="C124" s="93" t="str">
        <f>Source!H118</f>
        <v>Итого НДС 18%</v>
      </c>
      <c r="D124" s="93"/>
      <c r="E124" s="93"/>
      <c r="F124" s="93"/>
      <c r="G124" s="80">
        <f>IF(Source!P118=0, "", Source!P118)</f>
        <v>175689.35</v>
      </c>
      <c r="H124" s="80"/>
    </row>
    <row r="125" spans="1:33" ht="14.25" x14ac:dyDescent="0.2">
      <c r="C125" s="93" t="str">
        <f>Source!H119</f>
        <v>Всего по смете</v>
      </c>
      <c r="D125" s="93"/>
      <c r="E125" s="93"/>
      <c r="F125" s="93"/>
      <c r="G125" s="80">
        <f>IF(Source!P119=0, "", Source!P119)</f>
        <v>1151741.29</v>
      </c>
      <c r="H125" s="80"/>
    </row>
    <row r="128" spans="1:33" ht="15" thickBot="1" x14ac:dyDescent="0.25">
      <c r="A128" s="94" t="s">
        <v>362</v>
      </c>
      <c r="B128" s="94"/>
      <c r="C128" s="70" t="str">
        <f>IF(Source!AC12&lt;&gt;"", Source!AC12," ")</f>
        <v xml:space="preserve"> </v>
      </c>
      <c r="D128" s="14"/>
      <c r="E128" s="71"/>
      <c r="F128" s="14"/>
      <c r="G128" s="95" t="str">
        <f>IF(Source!AB12&lt;&gt;"", Source!AB12," ")</f>
        <v xml:space="preserve"> </v>
      </c>
      <c r="H128" s="95"/>
      <c r="I128" s="14"/>
      <c r="J128" s="14"/>
      <c r="K128" s="14"/>
      <c r="L128" s="14"/>
    </row>
    <row r="129" spans="1:12" ht="14.25" x14ac:dyDescent="0.2">
      <c r="A129" s="14"/>
      <c r="B129" s="14"/>
      <c r="C129" s="72" t="s">
        <v>363</v>
      </c>
      <c r="D129" s="14"/>
      <c r="E129" s="72" t="s">
        <v>364</v>
      </c>
      <c r="F129" s="14"/>
      <c r="G129" s="92" t="s">
        <v>365</v>
      </c>
      <c r="H129" s="92"/>
      <c r="I129" s="14"/>
      <c r="J129" s="14"/>
      <c r="K129" s="14"/>
      <c r="L129" s="14"/>
    </row>
    <row r="130" spans="1:12" ht="14.25" x14ac:dyDescent="0.2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</row>
    <row r="131" spans="1:12" ht="14.25" x14ac:dyDescent="0.2">
      <c r="A131" s="14"/>
      <c r="B131" s="14"/>
      <c r="C131" s="18" t="s">
        <v>366</v>
      </c>
      <c r="D131" s="14"/>
      <c r="E131" s="14"/>
      <c r="F131" s="14"/>
      <c r="G131" s="14"/>
      <c r="H131" s="14"/>
      <c r="I131" s="14"/>
      <c r="J131" s="14"/>
      <c r="K131" s="14"/>
      <c r="L131" s="14"/>
    </row>
    <row r="132" spans="1:12" ht="14.25" x14ac:dyDescent="0.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</row>
    <row r="133" spans="1:12" ht="15" thickBot="1" x14ac:dyDescent="0.25">
      <c r="A133" s="94" t="s">
        <v>367</v>
      </c>
      <c r="B133" s="94"/>
      <c r="C133" s="70" t="str">
        <f>IF(Source!AG12&lt;&gt;"", Source!AG12," ")</f>
        <v xml:space="preserve"> </v>
      </c>
      <c r="D133" s="14"/>
      <c r="E133" s="71"/>
      <c r="F133" s="14"/>
      <c r="G133" s="95" t="str">
        <f>IF(Source!AF12&lt;&gt;"", Source!AF12," ")</f>
        <v xml:space="preserve"> </v>
      </c>
      <c r="H133" s="95"/>
      <c r="I133" s="14"/>
      <c r="J133" s="14"/>
      <c r="K133" s="14"/>
      <c r="L133" s="14"/>
    </row>
    <row r="134" spans="1:12" ht="14.25" x14ac:dyDescent="0.2">
      <c r="A134" s="14"/>
      <c r="B134" s="14"/>
      <c r="C134" s="72" t="s">
        <v>363</v>
      </c>
      <c r="D134" s="14"/>
      <c r="E134" s="72" t="s">
        <v>364</v>
      </c>
      <c r="F134" s="14"/>
      <c r="G134" s="92" t="s">
        <v>365</v>
      </c>
      <c r="H134" s="92"/>
      <c r="I134" s="14"/>
      <c r="J134" s="14"/>
      <c r="K134" s="14"/>
      <c r="L134" s="14"/>
    </row>
    <row r="135" spans="1:12" ht="14.25" x14ac:dyDescent="0.2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</row>
    <row r="136" spans="1:12" ht="14.25" x14ac:dyDescent="0.2">
      <c r="A136" s="14"/>
      <c r="B136" s="14"/>
      <c r="C136" s="18" t="s">
        <v>366</v>
      </c>
      <c r="D136" s="14"/>
      <c r="E136" s="14"/>
      <c r="F136" s="14"/>
      <c r="G136" s="14"/>
      <c r="H136" s="14"/>
      <c r="I136" s="14"/>
      <c r="J136" s="14"/>
      <c r="K136" s="14"/>
      <c r="L136" s="14"/>
    </row>
  </sheetData>
  <mergeCells count="58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C124:F124"/>
    <mergeCell ref="G124:H124"/>
    <mergeCell ref="A37:H37"/>
    <mergeCell ref="C114:F114"/>
    <mergeCell ref="C117:F117"/>
    <mergeCell ref="G117:H117"/>
    <mergeCell ref="C118:F118"/>
    <mergeCell ref="G118:H118"/>
    <mergeCell ref="C119:F119"/>
    <mergeCell ref="G119:H119"/>
    <mergeCell ref="C121:F121"/>
    <mergeCell ref="C123:F123"/>
    <mergeCell ref="G123:H123"/>
    <mergeCell ref="G134:H134"/>
    <mergeCell ref="C125:F125"/>
    <mergeCell ref="G125:H125"/>
    <mergeCell ref="A128:B128"/>
    <mergeCell ref="G128:H128"/>
    <mergeCell ref="G129:H129"/>
    <mergeCell ref="A133:B133"/>
    <mergeCell ref="G133:H133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6"/>
  <sheetViews>
    <sheetView workbookViewId="0">
      <selection activeCell="G18" sqref="G1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150</v>
      </c>
      <c r="C12" s="1">
        <v>0</v>
      </c>
      <c r="D12" s="1">
        <f>ROW(A89)</f>
        <v>89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B89</f>
        <v>150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Капитальный ремонт окооных проемов общежития ДИТИ НИЯУ МИФИ_цена поставщика</v>
      </c>
      <c r="H18" s="3"/>
      <c r="I18" s="3"/>
      <c r="J18" s="3"/>
      <c r="K18" s="3"/>
      <c r="L18" s="3"/>
      <c r="M18" s="3"/>
      <c r="N18" s="3"/>
      <c r="O18" s="3">
        <f t="shared" ref="O18:AT18" si="1">O89</f>
        <v>508165.03</v>
      </c>
      <c r="P18" s="3">
        <f t="shared" si="1"/>
        <v>499848.97</v>
      </c>
      <c r="Q18" s="3">
        <f t="shared" si="1"/>
        <v>884.6</v>
      </c>
      <c r="R18" s="3">
        <f t="shared" si="1"/>
        <v>266.58</v>
      </c>
      <c r="S18" s="3">
        <f t="shared" si="1"/>
        <v>7431.46</v>
      </c>
      <c r="T18" s="3">
        <f t="shared" si="1"/>
        <v>0</v>
      </c>
      <c r="U18" s="3">
        <f t="shared" si="1"/>
        <v>862.14201600000001</v>
      </c>
      <c r="V18" s="3">
        <f t="shared" si="1"/>
        <v>20.715200000000003</v>
      </c>
      <c r="W18" s="3">
        <f t="shared" si="1"/>
        <v>0</v>
      </c>
      <c r="X18" s="3">
        <f t="shared" si="1"/>
        <v>6467.1</v>
      </c>
      <c r="Y18" s="3">
        <f t="shared" si="1"/>
        <v>3340.58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518057.25</v>
      </c>
      <c r="AS18" s="3">
        <f t="shared" si="1"/>
        <v>518057.25</v>
      </c>
      <c r="AT18" s="3">
        <f t="shared" si="1"/>
        <v>0</v>
      </c>
      <c r="AU18" s="3">
        <f t="shared" ref="AU18:BZ18" si="2">AU89</f>
        <v>0</v>
      </c>
      <c r="AV18" s="3">
        <f t="shared" si="2"/>
        <v>499848.97</v>
      </c>
      <c r="AW18" s="3">
        <f t="shared" si="2"/>
        <v>499848.97</v>
      </c>
      <c r="AX18" s="3">
        <f t="shared" si="2"/>
        <v>0</v>
      </c>
      <c r="AY18" s="3">
        <f t="shared" si="2"/>
        <v>499848.97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CA89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DG89</f>
        <v>897756.12</v>
      </c>
      <c r="DH18" s="4">
        <f t="shared" si="4"/>
        <v>843119.63</v>
      </c>
      <c r="DI18" s="4">
        <f t="shared" si="4"/>
        <v>5811.8</v>
      </c>
      <c r="DJ18" s="4">
        <f t="shared" si="4"/>
        <v>1751.44</v>
      </c>
      <c r="DK18" s="4">
        <f t="shared" si="4"/>
        <v>48824.69</v>
      </c>
      <c r="DL18" s="4">
        <f t="shared" si="4"/>
        <v>0</v>
      </c>
      <c r="DM18" s="4">
        <f t="shared" si="4"/>
        <v>862.14201600000001</v>
      </c>
      <c r="DN18" s="4">
        <f t="shared" si="4"/>
        <v>20.715200000000003</v>
      </c>
      <c r="DO18" s="4">
        <f t="shared" si="4"/>
        <v>0</v>
      </c>
      <c r="DP18" s="4">
        <f t="shared" si="4"/>
        <v>50154.19</v>
      </c>
      <c r="DQ18" s="4">
        <f t="shared" si="4"/>
        <v>27586.2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976051.94</v>
      </c>
      <c r="EK18" s="4">
        <f t="shared" si="4"/>
        <v>976051.94</v>
      </c>
      <c r="EL18" s="4">
        <f t="shared" si="4"/>
        <v>0</v>
      </c>
      <c r="EM18" s="4">
        <f t="shared" ref="EM18:FR18" si="5">EM89</f>
        <v>0</v>
      </c>
      <c r="EN18" s="4">
        <f t="shared" si="5"/>
        <v>843119.63</v>
      </c>
      <c r="EO18" s="4">
        <f t="shared" si="5"/>
        <v>843119.63</v>
      </c>
      <c r="EP18" s="4">
        <f t="shared" si="5"/>
        <v>0</v>
      </c>
      <c r="EQ18" s="4">
        <f t="shared" si="5"/>
        <v>843119.63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FS89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ROW(A57)</f>
        <v>57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B57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O57</f>
        <v>508165.03</v>
      </c>
      <c r="P22" s="3">
        <f t="shared" si="8"/>
        <v>499848.97</v>
      </c>
      <c r="Q22" s="3">
        <f t="shared" si="8"/>
        <v>884.6</v>
      </c>
      <c r="R22" s="3">
        <f t="shared" si="8"/>
        <v>266.58</v>
      </c>
      <c r="S22" s="3">
        <f t="shared" si="8"/>
        <v>7431.46</v>
      </c>
      <c r="T22" s="3">
        <f t="shared" si="8"/>
        <v>0</v>
      </c>
      <c r="U22" s="3">
        <f t="shared" si="8"/>
        <v>862.14201600000001</v>
      </c>
      <c r="V22" s="3">
        <f t="shared" si="8"/>
        <v>20.715200000000003</v>
      </c>
      <c r="W22" s="3">
        <f t="shared" si="8"/>
        <v>0</v>
      </c>
      <c r="X22" s="3">
        <f t="shared" si="8"/>
        <v>6467.1</v>
      </c>
      <c r="Y22" s="3">
        <f t="shared" si="8"/>
        <v>3340.58</v>
      </c>
      <c r="Z22" s="3">
        <f t="shared" si="8"/>
        <v>0</v>
      </c>
      <c r="AA22" s="3">
        <f t="shared" si="8"/>
        <v>0</v>
      </c>
      <c r="AB22" s="3">
        <f t="shared" si="8"/>
        <v>508165.03</v>
      </c>
      <c r="AC22" s="3">
        <f t="shared" si="8"/>
        <v>499848.97</v>
      </c>
      <c r="AD22" s="3">
        <f t="shared" si="8"/>
        <v>884.6</v>
      </c>
      <c r="AE22" s="3">
        <f t="shared" si="8"/>
        <v>266.58</v>
      </c>
      <c r="AF22" s="3">
        <f t="shared" si="8"/>
        <v>7431.46</v>
      </c>
      <c r="AG22" s="3">
        <f t="shared" si="8"/>
        <v>0</v>
      </c>
      <c r="AH22" s="3">
        <f t="shared" si="8"/>
        <v>862.14201600000001</v>
      </c>
      <c r="AI22" s="3">
        <f t="shared" si="8"/>
        <v>20.715200000000003</v>
      </c>
      <c r="AJ22" s="3">
        <f t="shared" si="8"/>
        <v>0</v>
      </c>
      <c r="AK22" s="3">
        <f t="shared" si="8"/>
        <v>6467.1</v>
      </c>
      <c r="AL22" s="3">
        <f t="shared" si="8"/>
        <v>3340.58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518057.25</v>
      </c>
      <c r="AS22" s="3">
        <f t="shared" si="8"/>
        <v>518057.25</v>
      </c>
      <c r="AT22" s="3">
        <f t="shared" si="8"/>
        <v>0</v>
      </c>
      <c r="AU22" s="3">
        <f t="shared" ref="AU22:BZ22" si="9">AU57</f>
        <v>0</v>
      </c>
      <c r="AV22" s="3">
        <f t="shared" si="9"/>
        <v>499848.97</v>
      </c>
      <c r="AW22" s="3">
        <f t="shared" si="9"/>
        <v>499848.97</v>
      </c>
      <c r="AX22" s="3">
        <f t="shared" si="9"/>
        <v>0</v>
      </c>
      <c r="AY22" s="3">
        <f t="shared" si="9"/>
        <v>499848.97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CA57</f>
        <v>518057.25</v>
      </c>
      <c r="CB22" s="3">
        <f t="shared" si="10"/>
        <v>518057.25</v>
      </c>
      <c r="CC22" s="3">
        <f t="shared" si="10"/>
        <v>0</v>
      </c>
      <c r="CD22" s="3">
        <f t="shared" si="10"/>
        <v>0</v>
      </c>
      <c r="CE22" s="3">
        <f t="shared" si="10"/>
        <v>499848.97</v>
      </c>
      <c r="CF22" s="3">
        <f t="shared" si="10"/>
        <v>499848.97</v>
      </c>
      <c r="CG22" s="3">
        <f t="shared" si="10"/>
        <v>0</v>
      </c>
      <c r="CH22" s="3">
        <f t="shared" si="10"/>
        <v>499848.97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DG57</f>
        <v>897756.12</v>
      </c>
      <c r="DH22" s="4">
        <f t="shared" si="11"/>
        <v>843119.63</v>
      </c>
      <c r="DI22" s="4">
        <f t="shared" si="11"/>
        <v>5811.8</v>
      </c>
      <c r="DJ22" s="4">
        <f t="shared" si="11"/>
        <v>1751.44</v>
      </c>
      <c r="DK22" s="4">
        <f t="shared" si="11"/>
        <v>48824.69</v>
      </c>
      <c r="DL22" s="4">
        <f t="shared" si="11"/>
        <v>0</v>
      </c>
      <c r="DM22" s="4">
        <f t="shared" si="11"/>
        <v>862.14201600000001</v>
      </c>
      <c r="DN22" s="4">
        <f t="shared" si="11"/>
        <v>20.715200000000003</v>
      </c>
      <c r="DO22" s="4">
        <f t="shared" si="11"/>
        <v>0</v>
      </c>
      <c r="DP22" s="4">
        <f t="shared" si="11"/>
        <v>50154.19</v>
      </c>
      <c r="DQ22" s="4">
        <f t="shared" si="11"/>
        <v>27586.2</v>
      </c>
      <c r="DR22" s="4">
        <f t="shared" si="11"/>
        <v>0</v>
      </c>
      <c r="DS22" s="4">
        <f t="shared" si="11"/>
        <v>0</v>
      </c>
      <c r="DT22" s="4">
        <f t="shared" si="11"/>
        <v>897756.12</v>
      </c>
      <c r="DU22" s="4">
        <f t="shared" si="11"/>
        <v>843119.63</v>
      </c>
      <c r="DV22" s="4">
        <f t="shared" si="11"/>
        <v>5811.8</v>
      </c>
      <c r="DW22" s="4">
        <f t="shared" si="11"/>
        <v>1751.44</v>
      </c>
      <c r="DX22" s="4">
        <f t="shared" si="11"/>
        <v>48824.69</v>
      </c>
      <c r="DY22" s="4">
        <f t="shared" si="11"/>
        <v>0</v>
      </c>
      <c r="DZ22" s="4">
        <f t="shared" si="11"/>
        <v>862.14201600000001</v>
      </c>
      <c r="EA22" s="4">
        <f t="shared" si="11"/>
        <v>20.715200000000003</v>
      </c>
      <c r="EB22" s="4">
        <f t="shared" si="11"/>
        <v>0</v>
      </c>
      <c r="EC22" s="4">
        <f t="shared" si="11"/>
        <v>50154.19</v>
      </c>
      <c r="ED22" s="4">
        <f t="shared" si="11"/>
        <v>27586.2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976051.94</v>
      </c>
      <c r="EK22" s="4">
        <f t="shared" si="11"/>
        <v>976051.94</v>
      </c>
      <c r="EL22" s="4">
        <f t="shared" si="11"/>
        <v>0</v>
      </c>
      <c r="EM22" s="4">
        <f t="shared" ref="EM22:FR22" si="12">EM57</f>
        <v>0</v>
      </c>
      <c r="EN22" s="4">
        <f t="shared" si="12"/>
        <v>843119.63</v>
      </c>
      <c r="EO22" s="4">
        <f t="shared" si="12"/>
        <v>843119.63</v>
      </c>
      <c r="EP22" s="4">
        <f t="shared" si="12"/>
        <v>0</v>
      </c>
      <c r="EQ22" s="4">
        <f t="shared" si="12"/>
        <v>843119.63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FS57</f>
        <v>976051.94</v>
      </c>
      <c r="FT22" s="4">
        <f t="shared" si="13"/>
        <v>976051.94</v>
      </c>
      <c r="FU22" s="4">
        <f t="shared" si="13"/>
        <v>0</v>
      </c>
      <c r="FV22" s="4">
        <f t="shared" si="13"/>
        <v>0</v>
      </c>
      <c r="FW22" s="4">
        <f t="shared" si="13"/>
        <v>843119.63</v>
      </c>
      <c r="FX22" s="4">
        <f t="shared" si="13"/>
        <v>843119.63</v>
      </c>
      <c r="FY22" s="4">
        <f t="shared" si="13"/>
        <v>0</v>
      </c>
      <c r="FZ22" s="4">
        <f t="shared" si="13"/>
        <v>843119.63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ROUND(161.28/100,9)</f>
        <v>1.6128</v>
      </c>
      <c r="J24" s="2">
        <v>0</v>
      </c>
      <c r="K24" s="2"/>
      <c r="L24" s="2"/>
      <c r="M24" s="2"/>
      <c r="N24" s="2"/>
      <c r="O24" s="2">
        <f t="shared" ref="O24:O51" si="14">ROUND(CP24,2)</f>
        <v>2850.21</v>
      </c>
      <c r="P24" s="2">
        <f t="shared" ref="P24:P51" si="15">ROUND(CQ24*I24,2)</f>
        <v>0</v>
      </c>
      <c r="Q24" s="2">
        <f t="shared" ref="Q24:Q51" si="16">ROUND(CR24*I24,2)</f>
        <v>390.22</v>
      </c>
      <c r="R24" s="2">
        <f t="shared" ref="R24:R51" si="17">ROUND(CS24*I24,2)</f>
        <v>168.52</v>
      </c>
      <c r="S24" s="2">
        <f t="shared" ref="S24:S51" si="18">ROUND(CT24*I24,2)</f>
        <v>2459.9899999999998</v>
      </c>
      <c r="T24" s="2">
        <f t="shared" ref="T24:T51" si="19">ROUND(CU24*I24,2)</f>
        <v>0</v>
      </c>
      <c r="U24" s="2">
        <f t="shared" ref="U24:U51" si="20">CV24*I24</f>
        <v>304.07731200000001</v>
      </c>
      <c r="V24" s="2">
        <f t="shared" ref="V24:V51" si="21">CW24*I24</f>
        <v>12.483072</v>
      </c>
      <c r="W24" s="2">
        <f t="shared" ref="W24:W51" si="22">ROUND(CX24*I24,2)</f>
        <v>0</v>
      </c>
      <c r="X24" s="2">
        <f t="shared" ref="X24:X51" si="23">ROUND(CY24,2)</f>
        <v>2207.9499999999998</v>
      </c>
      <c r="Y24" s="2">
        <f t="shared" ref="Y24:Y51" si="24">ROUND(CZ24,2)</f>
        <v>1261.68</v>
      </c>
      <c r="Z24" s="2"/>
      <c r="AA24" s="2">
        <v>16496956</v>
      </c>
      <c r="AB24" s="2">
        <f t="shared" ref="AB24:AB51" si="25">ROUND((AC24+AD24+AF24),6)</f>
        <v>1767.24</v>
      </c>
      <c r="AC24" s="2">
        <f t="shared" ref="AC24:AC51" si="26">ROUND((ES24),6)</f>
        <v>0</v>
      </c>
      <c r="AD24" s="2">
        <f t="shared" ref="AD24:AD51" si="27">ROUND((((ET24)-(EU24))+AE24),6)</f>
        <v>241.95</v>
      </c>
      <c r="AE24" s="2">
        <f t="shared" ref="AE24:AE51" si="28">ROUND((EU24),6)</f>
        <v>104.49</v>
      </c>
      <c r="AF24" s="2">
        <f t="shared" ref="AF24:AF51" si="29">ROUND((EV24),6)</f>
        <v>1525.29</v>
      </c>
      <c r="AG24" s="2">
        <f t="shared" ref="AG24:AG51" si="30">ROUND((AP24),6)</f>
        <v>0</v>
      </c>
      <c r="AH24" s="2">
        <f t="shared" ref="AH24:AH51" si="31">(EW24)</f>
        <v>188.54</v>
      </c>
      <c r="AI24" s="2">
        <f t="shared" ref="AI24:AI51" si="32">(EX24)</f>
        <v>7.74</v>
      </c>
      <c r="AJ24" s="2">
        <f t="shared" ref="AJ24:AJ51" si="33">ROUND((AS24),6)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84</v>
      </c>
      <c r="AU24" s="2">
        <v>48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/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1" si="34">(P24+Q24+S24)</f>
        <v>2850.21</v>
      </c>
      <c r="CQ24" s="2">
        <f t="shared" ref="CQ24:CQ51" si="35">AC24*BC24</f>
        <v>0</v>
      </c>
      <c r="CR24" s="2">
        <f t="shared" ref="CR24:CR51" si="36">AD24*BB24</f>
        <v>241.95</v>
      </c>
      <c r="CS24" s="2">
        <f t="shared" ref="CS24:CS51" si="37">AE24*BS24</f>
        <v>104.49</v>
      </c>
      <c r="CT24" s="2">
        <f t="shared" ref="CT24:CT51" si="38">AF24*BA24</f>
        <v>1525.29</v>
      </c>
      <c r="CU24" s="2">
        <f t="shared" ref="CU24:CU51" si="39">AG24</f>
        <v>0</v>
      </c>
      <c r="CV24" s="2">
        <f t="shared" ref="CV24:CV51" si="40">AH24</f>
        <v>188.54</v>
      </c>
      <c r="CW24" s="2">
        <f t="shared" ref="CW24:CW51" si="41">AI24</f>
        <v>7.74</v>
      </c>
      <c r="CX24" s="2">
        <f t="shared" ref="CX24:CX51" si="42">AJ24</f>
        <v>0</v>
      </c>
      <c r="CY24" s="2">
        <f t="shared" ref="CY24:CY51" si="43">(((S24+R24)*AT24)/100)</f>
        <v>2207.9483999999998</v>
      </c>
      <c r="CZ24" s="2">
        <f t="shared" ref="CZ24:CZ51" si="44">(((S24+R24)*AU24)/100)</f>
        <v>1261.6847999999998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15139168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0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5">ROUND(IF(AND(BH24=3,BI24=3),P24,0),2)</f>
        <v>0</v>
      </c>
      <c r="FS24" s="2">
        <v>0</v>
      </c>
      <c r="FT24" s="2" t="s">
        <v>21</v>
      </c>
      <c r="FU24" s="2" t="s">
        <v>22</v>
      </c>
      <c r="FV24" s="2" t="s">
        <v>22</v>
      </c>
      <c r="FW24" s="2" t="s">
        <v>23</v>
      </c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1630687704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6">ROUND(IF(AND(BH24=3,BI24=3,FS24&lt;&gt;0),P24,0),2)</f>
        <v>0</v>
      </c>
      <c r="GM24" s="2">
        <f t="shared" ref="GM24:GM51" si="47">ROUND(O24+X24+Y24+GK24,2)+GX24</f>
        <v>6319.84</v>
      </c>
      <c r="GN24" s="2">
        <f t="shared" ref="GN24:GN51" si="48">IF(OR(BI24=0,BI24=1),ROUND(O24+X24+Y24+GK24,2),0)</f>
        <v>6319.84</v>
      </c>
      <c r="GO24" s="2">
        <f t="shared" ref="GO24:GO51" si="49">IF(BI24=2,ROUND(O24+X24+Y24+GK24,2),0)</f>
        <v>0</v>
      </c>
      <c r="GP24" s="2">
        <f t="shared" ref="GP24:GP51" si="50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1" si="51">ROUND(GT24,6)</f>
        <v>0</v>
      </c>
      <c r="GW24" s="2">
        <v>1</v>
      </c>
      <c r="GX24" s="2">
        <f t="shared" ref="GX24:GX55" si="52">ROUND(GV24*GW24*I24,2)</f>
        <v>0</v>
      </c>
      <c r="GY24" s="2"/>
      <c r="GZ24" s="2"/>
      <c r="HA24" s="2">
        <v>0</v>
      </c>
      <c r="HB24" s="2">
        <v>0</v>
      </c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ROUND(161.28/100,9)</f>
        <v>1.6128</v>
      </c>
      <c r="J25">
        <v>0</v>
      </c>
      <c r="O25">
        <f t="shared" si="14"/>
        <v>18725.849999999999</v>
      </c>
      <c r="P25">
        <f t="shared" si="15"/>
        <v>0</v>
      </c>
      <c r="Q25">
        <f t="shared" si="16"/>
        <v>2563.73</v>
      </c>
      <c r="R25">
        <f t="shared" si="17"/>
        <v>1107.19</v>
      </c>
      <c r="S25">
        <f t="shared" si="18"/>
        <v>16162.12</v>
      </c>
      <c r="T25">
        <f t="shared" si="19"/>
        <v>0</v>
      </c>
      <c r="U25">
        <f t="shared" si="20"/>
        <v>304.07731200000001</v>
      </c>
      <c r="V25">
        <f t="shared" si="21"/>
        <v>12.483072</v>
      </c>
      <c r="W25">
        <f t="shared" si="22"/>
        <v>0</v>
      </c>
      <c r="X25">
        <f t="shared" si="23"/>
        <v>17096.62</v>
      </c>
      <c r="Y25">
        <f t="shared" si="24"/>
        <v>10361.59</v>
      </c>
      <c r="AA25">
        <v>16497268</v>
      </c>
      <c r="AB25">
        <f t="shared" si="25"/>
        <v>1767.24</v>
      </c>
      <c r="AC25">
        <f t="shared" si="26"/>
        <v>0</v>
      </c>
      <c r="AD25">
        <f t="shared" si="27"/>
        <v>241.95</v>
      </c>
      <c r="AE25">
        <f t="shared" si="28"/>
        <v>104.49</v>
      </c>
      <c r="AF25">
        <f t="shared" si="29"/>
        <v>1525.29</v>
      </c>
      <c r="AG25">
        <f t="shared" si="30"/>
        <v>0</v>
      </c>
      <c r="AH25">
        <f t="shared" si="31"/>
        <v>188.54</v>
      </c>
      <c r="AI25">
        <f t="shared" si="32"/>
        <v>7.74</v>
      </c>
      <c r="AJ25">
        <f t="shared" si="33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6.57</v>
      </c>
      <c r="BA25">
        <v>6.57</v>
      </c>
      <c r="BB25">
        <v>6.57</v>
      </c>
      <c r="BC25">
        <v>6.57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6.57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34"/>
        <v>18725.850000000002</v>
      </c>
      <c r="CQ25">
        <f t="shared" si="35"/>
        <v>0</v>
      </c>
      <c r="CR25">
        <f t="shared" si="36"/>
        <v>1589.6115</v>
      </c>
      <c r="CS25">
        <f t="shared" si="37"/>
        <v>686.49929999999995</v>
      </c>
      <c r="CT25">
        <f t="shared" si="38"/>
        <v>10021.1553</v>
      </c>
      <c r="CU25">
        <f t="shared" si="39"/>
        <v>0</v>
      </c>
      <c r="CV25">
        <f t="shared" si="40"/>
        <v>188.54</v>
      </c>
      <c r="CW25">
        <f t="shared" si="41"/>
        <v>7.74</v>
      </c>
      <c r="CX25">
        <f t="shared" si="42"/>
        <v>0</v>
      </c>
      <c r="CY25">
        <f t="shared" si="43"/>
        <v>17096.616900000001</v>
      </c>
      <c r="CZ25">
        <f t="shared" si="44"/>
        <v>10361.586000000001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15139168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0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5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1630687704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6"/>
        <v>0</v>
      </c>
      <c r="GM25">
        <f t="shared" si="47"/>
        <v>46184.06</v>
      </c>
      <c r="GN25">
        <f t="shared" si="48"/>
        <v>46184.06</v>
      </c>
      <c r="GO25">
        <f t="shared" si="49"/>
        <v>0</v>
      </c>
      <c r="GP25">
        <f t="shared" si="50"/>
        <v>0</v>
      </c>
      <c r="GR25">
        <v>0</v>
      </c>
      <c r="GS25">
        <v>0</v>
      </c>
      <c r="GT25">
        <v>0</v>
      </c>
      <c r="GU25" t="s">
        <v>6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ROW(SmtRes!A17)</f>
        <v>17</v>
      </c>
      <c r="D26" s="2">
        <f>ROW(EtalonRes!A17)</f>
        <v>17</v>
      </c>
      <c r="E26" s="2" t="s">
        <v>24</v>
      </c>
      <c r="F26" s="2" t="s">
        <v>25</v>
      </c>
      <c r="G26" s="2" t="s">
        <v>26</v>
      </c>
      <c r="H26" s="2" t="s">
        <v>16</v>
      </c>
      <c r="I26" s="2">
        <f>ROUND(161.28/100,9)</f>
        <v>1.6128</v>
      </c>
      <c r="J26" s="2">
        <v>0</v>
      </c>
      <c r="K26" s="2"/>
      <c r="L26" s="2"/>
      <c r="M26" s="2"/>
      <c r="N26" s="2"/>
      <c r="O26" s="2">
        <f t="shared" si="14"/>
        <v>16302</v>
      </c>
      <c r="P26" s="2">
        <f t="shared" si="15"/>
        <v>13787.86</v>
      </c>
      <c r="Q26" s="2">
        <f t="shared" si="16"/>
        <v>411.6</v>
      </c>
      <c r="R26" s="2">
        <f t="shared" si="17"/>
        <v>81.16</v>
      </c>
      <c r="S26" s="2">
        <f t="shared" si="18"/>
        <v>2102.54</v>
      </c>
      <c r="T26" s="2">
        <f t="shared" si="19"/>
        <v>0</v>
      </c>
      <c r="U26" s="2">
        <f t="shared" si="20"/>
        <v>240.565248</v>
      </c>
      <c r="V26" s="2">
        <f t="shared" si="21"/>
        <v>6.8221440000000007</v>
      </c>
      <c r="W26" s="2">
        <f t="shared" si="22"/>
        <v>0</v>
      </c>
      <c r="X26" s="2">
        <f t="shared" si="23"/>
        <v>1965.33</v>
      </c>
      <c r="Y26" s="2">
        <f t="shared" si="24"/>
        <v>938.99</v>
      </c>
      <c r="Z26" s="2"/>
      <c r="AA26" s="2">
        <v>16496956</v>
      </c>
      <c r="AB26" s="2">
        <f t="shared" si="25"/>
        <v>10107.89</v>
      </c>
      <c r="AC26" s="2">
        <f t="shared" si="26"/>
        <v>8549.02</v>
      </c>
      <c r="AD26" s="2">
        <f t="shared" si="27"/>
        <v>255.21</v>
      </c>
      <c r="AE26" s="2">
        <f t="shared" si="28"/>
        <v>50.32</v>
      </c>
      <c r="AF26" s="2">
        <f t="shared" si="29"/>
        <v>1303.6600000000001</v>
      </c>
      <c r="AG26" s="2">
        <f t="shared" si="30"/>
        <v>0</v>
      </c>
      <c r="AH26" s="2">
        <f t="shared" si="31"/>
        <v>149.16</v>
      </c>
      <c r="AI26" s="2">
        <f t="shared" si="32"/>
        <v>4.2300000000000004</v>
      </c>
      <c r="AJ26" s="2">
        <f t="shared" si="33"/>
        <v>0</v>
      </c>
      <c r="AK26" s="2">
        <v>10107.89</v>
      </c>
      <c r="AL26" s="2">
        <v>8549.02</v>
      </c>
      <c r="AM26" s="2">
        <v>255.21</v>
      </c>
      <c r="AN26" s="2">
        <v>50.32</v>
      </c>
      <c r="AO26" s="2">
        <v>1303.6600000000001</v>
      </c>
      <c r="AP26" s="2">
        <v>0</v>
      </c>
      <c r="AQ26" s="2">
        <v>149.16</v>
      </c>
      <c r="AR26" s="2">
        <v>4.2300000000000004</v>
      </c>
      <c r="AS26" s="2">
        <v>0</v>
      </c>
      <c r="AT26" s="2">
        <v>90</v>
      </c>
      <c r="AU26" s="2">
        <v>43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27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/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6</v>
      </c>
      <c r="CO26" s="2">
        <v>0</v>
      </c>
      <c r="CP26" s="2">
        <f t="shared" si="34"/>
        <v>16302</v>
      </c>
      <c r="CQ26" s="2">
        <f t="shared" si="35"/>
        <v>8549.02</v>
      </c>
      <c r="CR26" s="2">
        <f t="shared" si="36"/>
        <v>255.21</v>
      </c>
      <c r="CS26" s="2">
        <f t="shared" si="37"/>
        <v>50.32</v>
      </c>
      <c r="CT26" s="2">
        <f t="shared" si="38"/>
        <v>1303.6600000000001</v>
      </c>
      <c r="CU26" s="2">
        <f t="shared" si="39"/>
        <v>0</v>
      </c>
      <c r="CV26" s="2">
        <f t="shared" si="40"/>
        <v>149.16</v>
      </c>
      <c r="CW26" s="2">
        <f t="shared" si="41"/>
        <v>4.2300000000000004</v>
      </c>
      <c r="CX26" s="2">
        <f t="shared" si="42"/>
        <v>0</v>
      </c>
      <c r="CY26" s="2">
        <f t="shared" si="43"/>
        <v>1965.3299999999997</v>
      </c>
      <c r="CZ26" s="2">
        <f t="shared" si="44"/>
        <v>938.99099999999987</v>
      </c>
      <c r="DA26" s="2"/>
      <c r="DB26" s="2"/>
      <c r="DC26" s="2" t="s">
        <v>6</v>
      </c>
      <c r="DD26" s="2" t="s">
        <v>6</v>
      </c>
      <c r="DE26" s="2" t="s">
        <v>6</v>
      </c>
      <c r="DF26" s="2" t="s">
        <v>6</v>
      </c>
      <c r="DG26" s="2" t="s">
        <v>6</v>
      </c>
      <c r="DH26" s="2" t="s">
        <v>6</v>
      </c>
      <c r="DI26" s="2" t="s">
        <v>6</v>
      </c>
      <c r="DJ26" s="2" t="s">
        <v>6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15139100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28</v>
      </c>
      <c r="EM26" s="2" t="s">
        <v>29</v>
      </c>
      <c r="EN26" s="2"/>
      <c r="EO26" s="2" t="s">
        <v>6</v>
      </c>
      <c r="EP26" s="2"/>
      <c r="EQ26" s="2">
        <v>0</v>
      </c>
      <c r="ER26" s="2">
        <v>10107.89</v>
      </c>
      <c r="ES26" s="2">
        <v>8549.02</v>
      </c>
      <c r="ET26" s="2">
        <v>255.21</v>
      </c>
      <c r="EU26" s="2">
        <v>50.32</v>
      </c>
      <c r="EV26" s="2">
        <v>1303.6600000000001</v>
      </c>
      <c r="EW26" s="2">
        <v>149.16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5"/>
        <v>0</v>
      </c>
      <c r="FS26" s="2">
        <v>0</v>
      </c>
      <c r="FT26" s="2" t="s">
        <v>21</v>
      </c>
      <c r="FU26" s="2" t="s">
        <v>22</v>
      </c>
      <c r="FV26" s="2" t="s">
        <v>22</v>
      </c>
      <c r="FW26" s="2" t="s">
        <v>23</v>
      </c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-330529066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6"/>
        <v>0</v>
      </c>
      <c r="GM26" s="2">
        <f t="shared" si="47"/>
        <v>19206.32</v>
      </c>
      <c r="GN26" s="2">
        <f t="shared" si="48"/>
        <v>19206.32</v>
      </c>
      <c r="GO26" s="2">
        <f t="shared" si="49"/>
        <v>0</v>
      </c>
      <c r="GP26" s="2">
        <f t="shared" si="50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51"/>
        <v>0</v>
      </c>
      <c r="GW26" s="2">
        <v>1</v>
      </c>
      <c r="GX26" s="2">
        <f t="shared" si="52"/>
        <v>0</v>
      </c>
      <c r="GY26" s="2"/>
      <c r="GZ26" s="2"/>
      <c r="HA26" s="2">
        <v>0</v>
      </c>
      <c r="HB26" s="2">
        <v>0</v>
      </c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ROW(SmtRes!A28)</f>
        <v>28</v>
      </c>
      <c r="D27">
        <f>ROW(EtalonRes!A28)</f>
        <v>28</v>
      </c>
      <c r="E27" t="s">
        <v>24</v>
      </c>
      <c r="F27" t="s">
        <v>25</v>
      </c>
      <c r="G27" t="s">
        <v>26</v>
      </c>
      <c r="H27" t="s">
        <v>16</v>
      </c>
      <c r="I27">
        <f>ROUND(161.28/100,9)</f>
        <v>1.6128</v>
      </c>
      <c r="J27">
        <v>0</v>
      </c>
      <c r="O27">
        <f t="shared" si="14"/>
        <v>107104.18</v>
      </c>
      <c r="P27">
        <f t="shared" si="15"/>
        <v>90586.240000000005</v>
      </c>
      <c r="Q27">
        <f t="shared" si="16"/>
        <v>2704.23</v>
      </c>
      <c r="R27">
        <f t="shared" si="17"/>
        <v>533.20000000000005</v>
      </c>
      <c r="S27">
        <f t="shared" si="18"/>
        <v>13813.71</v>
      </c>
      <c r="T27">
        <f t="shared" si="19"/>
        <v>0</v>
      </c>
      <c r="U27">
        <f t="shared" si="20"/>
        <v>240.565248</v>
      </c>
      <c r="V27">
        <f t="shared" si="21"/>
        <v>6.8221440000000007</v>
      </c>
      <c r="W27">
        <f t="shared" si="22"/>
        <v>0</v>
      </c>
      <c r="X27">
        <f t="shared" si="23"/>
        <v>15207.72</v>
      </c>
      <c r="Y27">
        <f t="shared" si="24"/>
        <v>7747.33</v>
      </c>
      <c r="AA27">
        <v>16497268</v>
      </c>
      <c r="AB27">
        <f t="shared" si="25"/>
        <v>10107.89</v>
      </c>
      <c r="AC27">
        <f t="shared" si="26"/>
        <v>8549.02</v>
      </c>
      <c r="AD27">
        <f t="shared" si="27"/>
        <v>255.21</v>
      </c>
      <c r="AE27">
        <f t="shared" si="28"/>
        <v>50.32</v>
      </c>
      <c r="AF27">
        <f t="shared" si="29"/>
        <v>1303.6600000000001</v>
      </c>
      <c r="AG27">
        <f t="shared" si="30"/>
        <v>0</v>
      </c>
      <c r="AH27">
        <f t="shared" si="31"/>
        <v>149.16</v>
      </c>
      <c r="AI27">
        <f t="shared" si="32"/>
        <v>4.2300000000000004</v>
      </c>
      <c r="AJ27">
        <f t="shared" si="33"/>
        <v>0</v>
      </c>
      <c r="AK27">
        <v>10107.89</v>
      </c>
      <c r="AL27">
        <v>8549.02</v>
      </c>
      <c r="AM27">
        <v>255.21</v>
      </c>
      <c r="AN27">
        <v>50.32</v>
      </c>
      <c r="AO27">
        <v>1303.6600000000001</v>
      </c>
      <c r="AP27">
        <v>0</v>
      </c>
      <c r="AQ27">
        <v>149.16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6.57</v>
      </c>
      <c r="BA27">
        <v>6.57</v>
      </c>
      <c r="BB27">
        <v>6.57</v>
      </c>
      <c r="BC27">
        <v>6.57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27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6.57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6</v>
      </c>
      <c r="CO27">
        <v>0</v>
      </c>
      <c r="CP27">
        <f t="shared" si="34"/>
        <v>107104.18</v>
      </c>
      <c r="CQ27">
        <f t="shared" si="35"/>
        <v>56167.061400000006</v>
      </c>
      <c r="CR27">
        <f t="shared" si="36"/>
        <v>1676.7297000000001</v>
      </c>
      <c r="CS27">
        <f t="shared" si="37"/>
        <v>330.60239999999999</v>
      </c>
      <c r="CT27">
        <f t="shared" si="38"/>
        <v>8565.0462000000007</v>
      </c>
      <c r="CU27">
        <f t="shared" si="39"/>
        <v>0</v>
      </c>
      <c r="CV27">
        <f t="shared" si="40"/>
        <v>149.16</v>
      </c>
      <c r="CW27">
        <f t="shared" si="41"/>
        <v>4.2300000000000004</v>
      </c>
      <c r="CX27">
        <f t="shared" si="42"/>
        <v>0</v>
      </c>
      <c r="CY27">
        <f t="shared" si="43"/>
        <v>15207.7246</v>
      </c>
      <c r="CZ27">
        <f t="shared" si="44"/>
        <v>7747.3314</v>
      </c>
      <c r="DC27" t="s">
        <v>6</v>
      </c>
      <c r="DD27" t="s">
        <v>6</v>
      </c>
      <c r="DE27" t="s">
        <v>6</v>
      </c>
      <c r="DF27" t="s">
        <v>6</v>
      </c>
      <c r="DG27" t="s">
        <v>6</v>
      </c>
      <c r="DH27" t="s">
        <v>6</v>
      </c>
      <c r="DI27" t="s">
        <v>6</v>
      </c>
      <c r="DJ27" t="s">
        <v>6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15139100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28</v>
      </c>
      <c r="EM27" t="s">
        <v>29</v>
      </c>
      <c r="EO27" t="s">
        <v>6</v>
      </c>
      <c r="EQ27">
        <v>0</v>
      </c>
      <c r="ER27">
        <v>10107.89</v>
      </c>
      <c r="ES27">
        <v>8549.02</v>
      </c>
      <c r="ET27">
        <v>255.21</v>
      </c>
      <c r="EU27">
        <v>50.32</v>
      </c>
      <c r="EV27">
        <v>1303.6600000000001</v>
      </c>
      <c r="EW27">
        <v>149.16</v>
      </c>
      <c r="EX27">
        <v>4.2300000000000004</v>
      </c>
      <c r="EY27">
        <v>0</v>
      </c>
      <c r="FQ27">
        <v>0</v>
      </c>
      <c r="FR27">
        <f t="shared" si="45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-330529066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6"/>
        <v>0</v>
      </c>
      <c r="GM27">
        <f t="shared" si="47"/>
        <v>130059.23</v>
      </c>
      <c r="GN27">
        <f t="shared" si="48"/>
        <v>130059.23</v>
      </c>
      <c r="GO27">
        <f t="shared" si="49"/>
        <v>0</v>
      </c>
      <c r="GP27">
        <f t="shared" si="50"/>
        <v>0</v>
      </c>
      <c r="GR27">
        <v>0</v>
      </c>
      <c r="GS27">
        <v>0</v>
      </c>
      <c r="GT27">
        <v>0</v>
      </c>
      <c r="GU27" t="s">
        <v>6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17</v>
      </c>
      <c r="D28" s="2"/>
      <c r="E28" s="2" t="s">
        <v>30</v>
      </c>
      <c r="F28" s="2" t="s">
        <v>31</v>
      </c>
      <c r="G28" s="2" t="s">
        <v>32</v>
      </c>
      <c r="H28" s="2" t="s">
        <v>33</v>
      </c>
      <c r="I28" s="2">
        <f>I26*J28</f>
        <v>161.28</v>
      </c>
      <c r="J28" s="2">
        <v>100</v>
      </c>
      <c r="K28" s="2"/>
      <c r="L28" s="2"/>
      <c r="M28" s="2"/>
      <c r="N28" s="2"/>
      <c r="O28" s="2">
        <f t="shared" si="14"/>
        <v>472655.23</v>
      </c>
      <c r="P28" s="2">
        <f t="shared" si="15"/>
        <v>472655.23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16496956</v>
      </c>
      <c r="AB28" s="2">
        <f t="shared" si="25"/>
        <v>2930.65</v>
      </c>
      <c r="AC28" s="2">
        <f t="shared" si="26"/>
        <v>2930.65</v>
      </c>
      <c r="AD28" s="2">
        <f t="shared" si="27"/>
        <v>0</v>
      </c>
      <c r="AE28" s="2">
        <f t="shared" si="28"/>
        <v>0</v>
      </c>
      <c r="AF28" s="2">
        <f t="shared" si="29"/>
        <v>0</v>
      </c>
      <c r="AG28" s="2">
        <f t="shared" si="30"/>
        <v>0</v>
      </c>
      <c r="AH28" s="2">
        <f t="shared" si="31"/>
        <v>0</v>
      </c>
      <c r="AI28" s="2">
        <f t="shared" si="32"/>
        <v>0</v>
      </c>
      <c r="AJ28" s="2">
        <f t="shared" si="33"/>
        <v>0</v>
      </c>
      <c r="AK28" s="2">
        <v>2930.65</v>
      </c>
      <c r="AL28" s="2">
        <v>2930.65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90</v>
      </c>
      <c r="AU28" s="2">
        <v>43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34"/>
        <v>472655.23</v>
      </c>
      <c r="CQ28" s="2">
        <f t="shared" si="35"/>
        <v>2930.65</v>
      </c>
      <c r="CR28" s="2">
        <f t="shared" si="36"/>
        <v>0</v>
      </c>
      <c r="CS28" s="2">
        <f t="shared" si="37"/>
        <v>0</v>
      </c>
      <c r="CT28" s="2">
        <f t="shared" si="38"/>
        <v>0</v>
      </c>
      <c r="CU28" s="2">
        <f t="shared" si="39"/>
        <v>0</v>
      </c>
      <c r="CV28" s="2">
        <f t="shared" si="40"/>
        <v>0</v>
      </c>
      <c r="CW28" s="2">
        <f t="shared" si="41"/>
        <v>0</v>
      </c>
      <c r="CX28" s="2">
        <f t="shared" si="42"/>
        <v>0</v>
      </c>
      <c r="CY28" s="2">
        <f t="shared" si="43"/>
        <v>0</v>
      </c>
      <c r="CZ28" s="2">
        <f t="shared" si="44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33</v>
      </c>
      <c r="DW28" s="2" t="s">
        <v>33</v>
      </c>
      <c r="DX28" s="2">
        <v>1</v>
      </c>
      <c r="DY28" s="2"/>
      <c r="DZ28" s="2"/>
      <c r="EA28" s="2"/>
      <c r="EB28" s="2"/>
      <c r="EC28" s="2"/>
      <c r="ED28" s="2"/>
      <c r="EE28" s="2">
        <v>15139100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28</v>
      </c>
      <c r="EM28" s="2" t="s">
        <v>29</v>
      </c>
      <c r="EN28" s="2"/>
      <c r="EO28" s="2" t="s">
        <v>6</v>
      </c>
      <c r="EP28" s="2"/>
      <c r="EQ28" s="2">
        <v>0</v>
      </c>
      <c r="ER28" s="2">
        <v>446.07</v>
      </c>
      <c r="ES28" s="2">
        <v>2930.65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>
        <v>5</v>
      </c>
      <c r="FA28" s="2"/>
      <c r="FB28" s="2"/>
      <c r="FC28" s="2">
        <v>1</v>
      </c>
      <c r="FD28" s="2">
        <v>18</v>
      </c>
      <c r="FE28" s="2"/>
      <c r="FF28" s="2">
        <v>3458.17</v>
      </c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5"/>
        <v>0</v>
      </c>
      <c r="FS28" s="2">
        <v>0</v>
      </c>
      <c r="FT28" s="2" t="s">
        <v>21</v>
      </c>
      <c r="FU28" s="2" t="s">
        <v>22</v>
      </c>
      <c r="FV28" s="2" t="s">
        <v>22</v>
      </c>
      <c r="FW28" s="2" t="s">
        <v>23</v>
      </c>
      <c r="FX28" s="2">
        <v>106.2</v>
      </c>
      <c r="FY28" s="2">
        <v>53.55</v>
      </c>
      <c r="FZ28" s="2"/>
      <c r="GA28" s="2" t="s">
        <v>34</v>
      </c>
      <c r="GB28" s="2"/>
      <c r="GC28" s="2"/>
      <c r="GD28" s="2">
        <v>0</v>
      </c>
      <c r="GE28" s="2"/>
      <c r="GF28" s="2">
        <v>-1032967554</v>
      </c>
      <c r="GG28" s="2">
        <v>2</v>
      </c>
      <c r="GH28" s="2">
        <v>3</v>
      </c>
      <c r="GI28" s="2">
        <v>-2</v>
      </c>
      <c r="GJ28" s="2">
        <v>0</v>
      </c>
      <c r="GK28" s="2">
        <f>ROUND(R28*(R12)/100,2)</f>
        <v>0</v>
      </c>
      <c r="GL28" s="2">
        <f t="shared" si="46"/>
        <v>0</v>
      </c>
      <c r="GM28" s="2">
        <f t="shared" si="47"/>
        <v>472655.23</v>
      </c>
      <c r="GN28" s="2">
        <f t="shared" si="48"/>
        <v>472655.23</v>
      </c>
      <c r="GO28" s="2">
        <f t="shared" si="49"/>
        <v>0</v>
      </c>
      <c r="GP28" s="2">
        <f t="shared" si="50"/>
        <v>0</v>
      </c>
      <c r="GQ28" s="2"/>
      <c r="GR28" s="2">
        <v>1</v>
      </c>
      <c r="GS28" s="2">
        <v>1</v>
      </c>
      <c r="GT28" s="2">
        <v>0</v>
      </c>
      <c r="GU28" s="2" t="s">
        <v>6</v>
      </c>
      <c r="GV28" s="2">
        <f t="shared" si="51"/>
        <v>0</v>
      </c>
      <c r="GW28" s="2">
        <v>1</v>
      </c>
      <c r="GX28" s="2">
        <f t="shared" si="52"/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28</v>
      </c>
      <c r="E29" t="s">
        <v>30</v>
      </c>
      <c r="F29" t="s">
        <v>31</v>
      </c>
      <c r="G29" t="s">
        <v>32</v>
      </c>
      <c r="H29" t="s">
        <v>33</v>
      </c>
      <c r="I29">
        <f>I27*J29</f>
        <v>161.28</v>
      </c>
      <c r="J29">
        <v>100</v>
      </c>
      <c r="O29">
        <f t="shared" si="14"/>
        <v>472660.05</v>
      </c>
      <c r="P29">
        <f t="shared" si="15"/>
        <v>472660.05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16497268</v>
      </c>
      <c r="AB29">
        <f t="shared" si="25"/>
        <v>446.07</v>
      </c>
      <c r="AC29">
        <f t="shared" si="26"/>
        <v>446.07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446.07</v>
      </c>
      <c r="AL29">
        <v>446.07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6.57</v>
      </c>
      <c r="BA29">
        <v>1</v>
      </c>
      <c r="BB29">
        <v>1</v>
      </c>
      <c r="BC29">
        <v>6.57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34"/>
        <v>472660.05</v>
      </c>
      <c r="CQ29">
        <f t="shared" si="35"/>
        <v>2930.6799000000001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33</v>
      </c>
      <c r="DW29" t="s">
        <v>33</v>
      </c>
      <c r="DX29">
        <v>1</v>
      </c>
      <c r="EE29">
        <v>15139100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28</v>
      </c>
      <c r="EM29" t="s">
        <v>29</v>
      </c>
      <c r="EO29" t="s">
        <v>6</v>
      </c>
      <c r="EQ29">
        <v>0</v>
      </c>
      <c r="ER29">
        <v>446.07</v>
      </c>
      <c r="ES29">
        <v>446.07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5</v>
      </c>
      <c r="FC29">
        <v>1</v>
      </c>
      <c r="FD29">
        <v>18</v>
      </c>
      <c r="FF29">
        <v>3458.17</v>
      </c>
      <c r="FQ29">
        <v>0</v>
      </c>
      <c r="FR29">
        <f t="shared" si="45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35</v>
      </c>
      <c r="GD29">
        <v>0</v>
      </c>
      <c r="GF29">
        <v>-1032967554</v>
      </c>
      <c r="GG29">
        <v>1</v>
      </c>
      <c r="GH29">
        <v>3</v>
      </c>
      <c r="GI29">
        <v>4</v>
      </c>
      <c r="GJ29">
        <v>0</v>
      </c>
      <c r="GK29">
        <f>ROUND(R29*(S12)/100,2)</f>
        <v>0</v>
      </c>
      <c r="GL29">
        <f t="shared" si="46"/>
        <v>0</v>
      </c>
      <c r="GM29">
        <f t="shared" si="47"/>
        <v>472660.05</v>
      </c>
      <c r="GN29">
        <f t="shared" si="48"/>
        <v>472660.05</v>
      </c>
      <c r="GO29">
        <f t="shared" si="49"/>
        <v>0</v>
      </c>
      <c r="GP29">
        <f t="shared" si="50"/>
        <v>0</v>
      </c>
      <c r="GR29">
        <v>1</v>
      </c>
      <c r="GS29">
        <v>1</v>
      </c>
      <c r="GT29">
        <v>0</v>
      </c>
      <c r="GU29" t="s">
        <v>6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ROW(SmtRes!A35)</f>
        <v>35</v>
      </c>
      <c r="D30" s="2">
        <f>ROW(EtalonRes!A35)</f>
        <v>35</v>
      </c>
      <c r="E30" s="2" t="s">
        <v>36</v>
      </c>
      <c r="F30" s="2" t="s">
        <v>37</v>
      </c>
      <c r="G30" s="2" t="s">
        <v>38</v>
      </c>
      <c r="H30" s="2" t="s">
        <v>39</v>
      </c>
      <c r="I30" s="2">
        <f>ROUND(112/100,9)</f>
        <v>1.1200000000000001</v>
      </c>
      <c r="J30" s="2">
        <v>0</v>
      </c>
      <c r="K30" s="2"/>
      <c r="L30" s="2"/>
      <c r="M30" s="2"/>
      <c r="N30" s="2"/>
      <c r="O30" s="2">
        <f t="shared" si="14"/>
        <v>7258.91</v>
      </c>
      <c r="P30" s="2">
        <f t="shared" si="15"/>
        <v>7030.13</v>
      </c>
      <c r="Q30" s="2">
        <f t="shared" si="16"/>
        <v>24.53</v>
      </c>
      <c r="R30" s="2">
        <f t="shared" si="17"/>
        <v>4.96</v>
      </c>
      <c r="S30" s="2">
        <f t="shared" si="18"/>
        <v>204.25</v>
      </c>
      <c r="T30" s="2">
        <f t="shared" si="19"/>
        <v>0</v>
      </c>
      <c r="U30" s="2">
        <f t="shared" si="20"/>
        <v>23.945600000000002</v>
      </c>
      <c r="V30" s="2">
        <f t="shared" si="21"/>
        <v>0.41440000000000005</v>
      </c>
      <c r="W30" s="2">
        <f t="shared" si="22"/>
        <v>0</v>
      </c>
      <c r="X30" s="2">
        <f t="shared" si="23"/>
        <v>188.29</v>
      </c>
      <c r="Y30" s="2">
        <f t="shared" si="24"/>
        <v>89.96</v>
      </c>
      <c r="Z30" s="2"/>
      <c r="AA30" s="2">
        <v>16496956</v>
      </c>
      <c r="AB30" s="2">
        <f t="shared" si="25"/>
        <v>6481.17</v>
      </c>
      <c r="AC30" s="2">
        <f t="shared" si="26"/>
        <v>6276.9</v>
      </c>
      <c r="AD30" s="2">
        <f t="shared" si="27"/>
        <v>21.9</v>
      </c>
      <c r="AE30" s="2">
        <f t="shared" si="28"/>
        <v>4.43</v>
      </c>
      <c r="AF30" s="2">
        <f t="shared" si="29"/>
        <v>182.37</v>
      </c>
      <c r="AG30" s="2">
        <f t="shared" si="30"/>
        <v>0</v>
      </c>
      <c r="AH30" s="2">
        <f t="shared" si="31"/>
        <v>21.38</v>
      </c>
      <c r="AI30" s="2">
        <f t="shared" si="32"/>
        <v>0.37</v>
      </c>
      <c r="AJ30" s="2">
        <f t="shared" si="33"/>
        <v>0</v>
      </c>
      <c r="AK30" s="2">
        <v>6481.17</v>
      </c>
      <c r="AL30" s="2">
        <v>6276.9</v>
      </c>
      <c r="AM30" s="2">
        <v>21.9</v>
      </c>
      <c r="AN30" s="2">
        <v>4.43</v>
      </c>
      <c r="AO30" s="2">
        <v>182.37</v>
      </c>
      <c r="AP30" s="2">
        <v>0</v>
      </c>
      <c r="AQ30" s="2">
        <v>21.38</v>
      </c>
      <c r="AR30" s="2">
        <v>0.37</v>
      </c>
      <c r="AS30" s="2">
        <v>0</v>
      </c>
      <c r="AT30" s="2">
        <v>90</v>
      </c>
      <c r="AU30" s="2">
        <v>43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40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6</v>
      </c>
      <c r="CO30" s="2">
        <v>0</v>
      </c>
      <c r="CP30" s="2">
        <f t="shared" si="34"/>
        <v>7258.91</v>
      </c>
      <c r="CQ30" s="2">
        <f t="shared" si="35"/>
        <v>6276.9</v>
      </c>
      <c r="CR30" s="2">
        <f t="shared" si="36"/>
        <v>21.9</v>
      </c>
      <c r="CS30" s="2">
        <f t="shared" si="37"/>
        <v>4.43</v>
      </c>
      <c r="CT30" s="2">
        <f t="shared" si="38"/>
        <v>182.37</v>
      </c>
      <c r="CU30" s="2">
        <f t="shared" si="39"/>
        <v>0</v>
      </c>
      <c r="CV30" s="2">
        <f t="shared" si="40"/>
        <v>21.38</v>
      </c>
      <c r="CW30" s="2">
        <f t="shared" si="41"/>
        <v>0.37</v>
      </c>
      <c r="CX30" s="2">
        <f t="shared" si="42"/>
        <v>0</v>
      </c>
      <c r="CY30" s="2">
        <f t="shared" si="43"/>
        <v>188.28900000000002</v>
      </c>
      <c r="CZ30" s="2">
        <f t="shared" si="44"/>
        <v>89.960300000000004</v>
      </c>
      <c r="DA30" s="2"/>
      <c r="DB30" s="2"/>
      <c r="DC30" s="2" t="s">
        <v>6</v>
      </c>
      <c r="DD30" s="2" t="s">
        <v>6</v>
      </c>
      <c r="DE30" s="2" t="s">
        <v>6</v>
      </c>
      <c r="DF30" s="2" t="s">
        <v>6</v>
      </c>
      <c r="DG30" s="2" t="s">
        <v>6</v>
      </c>
      <c r="DH30" s="2" t="s">
        <v>6</v>
      </c>
      <c r="DI30" s="2" t="s">
        <v>6</v>
      </c>
      <c r="DJ30" s="2" t="s">
        <v>6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39</v>
      </c>
      <c r="DW30" s="2" t="s">
        <v>39</v>
      </c>
      <c r="DX30" s="2">
        <v>100</v>
      </c>
      <c r="DY30" s="2"/>
      <c r="DZ30" s="2"/>
      <c r="EA30" s="2"/>
      <c r="EB30" s="2"/>
      <c r="EC30" s="2"/>
      <c r="ED30" s="2"/>
      <c r="EE30" s="2">
        <v>15139100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28</v>
      </c>
      <c r="EM30" s="2" t="s">
        <v>29</v>
      </c>
      <c r="EN30" s="2"/>
      <c r="EO30" s="2" t="s">
        <v>6</v>
      </c>
      <c r="EP30" s="2"/>
      <c r="EQ30" s="2">
        <v>0</v>
      </c>
      <c r="ER30" s="2">
        <v>6481.17</v>
      </c>
      <c r="ES30" s="2">
        <v>6276.9</v>
      </c>
      <c r="ET30" s="2">
        <v>21.9</v>
      </c>
      <c r="EU30" s="2">
        <v>4.43</v>
      </c>
      <c r="EV30" s="2">
        <v>182.37</v>
      </c>
      <c r="EW30" s="2">
        <v>21.38</v>
      </c>
      <c r="EX30" s="2">
        <v>0.37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5"/>
        <v>0</v>
      </c>
      <c r="FS30" s="2">
        <v>0</v>
      </c>
      <c r="FT30" s="2" t="s">
        <v>21</v>
      </c>
      <c r="FU30" s="2" t="s">
        <v>22</v>
      </c>
      <c r="FV30" s="2" t="s">
        <v>22</v>
      </c>
      <c r="FW30" s="2" t="s">
        <v>23</v>
      </c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-1968498593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6"/>
        <v>0</v>
      </c>
      <c r="GM30" s="2">
        <f t="shared" si="47"/>
        <v>7537.16</v>
      </c>
      <c r="GN30" s="2">
        <f t="shared" si="48"/>
        <v>7537.16</v>
      </c>
      <c r="GO30" s="2">
        <f t="shared" si="49"/>
        <v>0</v>
      </c>
      <c r="GP30" s="2">
        <f t="shared" si="50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51"/>
        <v>0</v>
      </c>
      <c r="GW30" s="2">
        <v>1</v>
      </c>
      <c r="GX30" s="2">
        <f t="shared" si="52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ROW(SmtRes!A42)</f>
        <v>42</v>
      </c>
      <c r="D31">
        <f>ROW(EtalonRes!A42)</f>
        <v>42</v>
      </c>
      <c r="E31" t="s">
        <v>36</v>
      </c>
      <c r="F31" t="s">
        <v>37</v>
      </c>
      <c r="G31" t="s">
        <v>38</v>
      </c>
      <c r="H31" t="s">
        <v>39</v>
      </c>
      <c r="I31">
        <f>ROUND(112/100,9)</f>
        <v>1.1200000000000001</v>
      </c>
      <c r="J31">
        <v>0</v>
      </c>
      <c r="O31">
        <f t="shared" si="14"/>
        <v>47691.040000000001</v>
      </c>
      <c r="P31">
        <f t="shared" si="15"/>
        <v>46187.94</v>
      </c>
      <c r="Q31">
        <f t="shared" si="16"/>
        <v>161.15</v>
      </c>
      <c r="R31">
        <f t="shared" si="17"/>
        <v>32.6</v>
      </c>
      <c r="S31">
        <f t="shared" si="18"/>
        <v>1341.95</v>
      </c>
      <c r="T31">
        <f t="shared" si="19"/>
        <v>0</v>
      </c>
      <c r="U31">
        <f t="shared" si="20"/>
        <v>23.945600000000002</v>
      </c>
      <c r="V31">
        <f t="shared" si="21"/>
        <v>0.41440000000000005</v>
      </c>
      <c r="W31">
        <f t="shared" si="22"/>
        <v>0</v>
      </c>
      <c r="X31">
        <f t="shared" si="23"/>
        <v>1457.02</v>
      </c>
      <c r="Y31">
        <f t="shared" si="24"/>
        <v>742.26</v>
      </c>
      <c r="AA31">
        <v>16497268</v>
      </c>
      <c r="AB31">
        <f t="shared" si="25"/>
        <v>6481.17</v>
      </c>
      <c r="AC31">
        <f t="shared" si="26"/>
        <v>6276.9</v>
      </c>
      <c r="AD31">
        <f t="shared" si="27"/>
        <v>21.9</v>
      </c>
      <c r="AE31">
        <f t="shared" si="28"/>
        <v>4.43</v>
      </c>
      <c r="AF31">
        <f t="shared" si="29"/>
        <v>182.37</v>
      </c>
      <c r="AG31">
        <f t="shared" si="30"/>
        <v>0</v>
      </c>
      <c r="AH31">
        <f t="shared" si="31"/>
        <v>21.38</v>
      </c>
      <c r="AI31">
        <f t="shared" si="32"/>
        <v>0.37</v>
      </c>
      <c r="AJ31">
        <f t="shared" si="33"/>
        <v>0</v>
      </c>
      <c r="AK31">
        <v>6481.17</v>
      </c>
      <c r="AL31">
        <v>6276.9</v>
      </c>
      <c r="AM31">
        <v>21.9</v>
      </c>
      <c r="AN31">
        <v>4.43</v>
      </c>
      <c r="AO31">
        <v>182.37</v>
      </c>
      <c r="AP31">
        <v>0</v>
      </c>
      <c r="AQ31">
        <v>21.38</v>
      </c>
      <c r="AR31">
        <v>0.37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6.57</v>
      </c>
      <c r="BA31">
        <v>6.57</v>
      </c>
      <c r="BB31">
        <v>6.57</v>
      </c>
      <c r="BC31">
        <v>6.57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40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6.57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4"/>
        <v>47691.040000000001</v>
      </c>
      <c r="CQ31">
        <f t="shared" si="35"/>
        <v>41239.233</v>
      </c>
      <c r="CR31">
        <f t="shared" si="36"/>
        <v>143.88300000000001</v>
      </c>
      <c r="CS31">
        <f t="shared" si="37"/>
        <v>29.1051</v>
      </c>
      <c r="CT31">
        <f t="shared" si="38"/>
        <v>1198.1709000000001</v>
      </c>
      <c r="CU31">
        <f t="shared" si="39"/>
        <v>0</v>
      </c>
      <c r="CV31">
        <f t="shared" si="40"/>
        <v>21.38</v>
      </c>
      <c r="CW31">
        <f t="shared" si="41"/>
        <v>0.37</v>
      </c>
      <c r="CX31">
        <f t="shared" si="42"/>
        <v>0</v>
      </c>
      <c r="CY31">
        <f t="shared" si="43"/>
        <v>1457.0229999999999</v>
      </c>
      <c r="CZ31">
        <f t="shared" si="44"/>
        <v>742.25699999999995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39</v>
      </c>
      <c r="DW31" t="s">
        <v>39</v>
      </c>
      <c r="DX31">
        <v>100</v>
      </c>
      <c r="EE31">
        <v>15139100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28</v>
      </c>
      <c r="EM31" t="s">
        <v>29</v>
      </c>
      <c r="EO31" t="s">
        <v>6</v>
      </c>
      <c r="EQ31">
        <v>0</v>
      </c>
      <c r="ER31">
        <v>6481.17</v>
      </c>
      <c r="ES31">
        <v>6276.9</v>
      </c>
      <c r="ET31">
        <v>21.9</v>
      </c>
      <c r="EU31">
        <v>4.43</v>
      </c>
      <c r="EV31">
        <v>182.37</v>
      </c>
      <c r="EW31">
        <v>21.38</v>
      </c>
      <c r="EX31">
        <v>0.37</v>
      </c>
      <c r="EY31">
        <v>0</v>
      </c>
      <c r="FQ31">
        <v>0</v>
      </c>
      <c r="FR31">
        <f t="shared" si="45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-1968498593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6"/>
        <v>0</v>
      </c>
      <c r="GM31">
        <f t="shared" si="47"/>
        <v>49890.32</v>
      </c>
      <c r="GN31">
        <f t="shared" si="48"/>
        <v>49890.32</v>
      </c>
      <c r="GO31">
        <f t="shared" si="49"/>
        <v>0</v>
      </c>
      <c r="GP31">
        <f t="shared" si="50"/>
        <v>0</v>
      </c>
      <c r="GR31">
        <v>0</v>
      </c>
      <c r="GS31">
        <v>0</v>
      </c>
      <c r="GT31">
        <v>0</v>
      </c>
      <c r="GU31" t="s">
        <v>6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35</v>
      </c>
      <c r="D32" s="2"/>
      <c r="E32" s="2" t="s">
        <v>41</v>
      </c>
      <c r="F32" s="2" t="s">
        <v>31</v>
      </c>
      <c r="G32" s="2" t="s">
        <v>42</v>
      </c>
      <c r="H32" s="2" t="s">
        <v>43</v>
      </c>
      <c r="I32" s="2">
        <f>I30*J32</f>
        <v>112</v>
      </c>
      <c r="J32" s="2">
        <v>99.999999999999986</v>
      </c>
      <c r="K32" s="2"/>
      <c r="L32" s="2"/>
      <c r="M32" s="2"/>
      <c r="N32" s="2"/>
      <c r="O32" s="2">
        <f t="shared" si="14"/>
        <v>0</v>
      </c>
      <c r="P32" s="2">
        <f t="shared" si="15"/>
        <v>0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16496956</v>
      </c>
      <c r="AB32" s="2">
        <f t="shared" si="25"/>
        <v>0</v>
      </c>
      <c r="AC32" s="2">
        <f t="shared" si="26"/>
        <v>0</v>
      </c>
      <c r="AD32" s="2">
        <f t="shared" si="27"/>
        <v>0</v>
      </c>
      <c r="AE32" s="2">
        <f t="shared" si="28"/>
        <v>0</v>
      </c>
      <c r="AF32" s="2">
        <f t="shared" si="29"/>
        <v>0</v>
      </c>
      <c r="AG32" s="2">
        <f t="shared" si="30"/>
        <v>0</v>
      </c>
      <c r="AH32" s="2">
        <f t="shared" si="31"/>
        <v>0</v>
      </c>
      <c r="AI32" s="2">
        <f t="shared" si="32"/>
        <v>0</v>
      </c>
      <c r="AJ32" s="2">
        <f t="shared" si="33"/>
        <v>0</v>
      </c>
      <c r="AK32" s="2">
        <v>0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90</v>
      </c>
      <c r="AU32" s="2">
        <v>43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34"/>
        <v>0</v>
      </c>
      <c r="CQ32" s="2">
        <f t="shared" si="35"/>
        <v>0</v>
      </c>
      <c r="CR32" s="2">
        <f t="shared" si="36"/>
        <v>0</v>
      </c>
      <c r="CS32" s="2">
        <f t="shared" si="37"/>
        <v>0</v>
      </c>
      <c r="CT32" s="2">
        <f t="shared" si="38"/>
        <v>0</v>
      </c>
      <c r="CU32" s="2">
        <f t="shared" si="39"/>
        <v>0</v>
      </c>
      <c r="CV32" s="2">
        <f t="shared" si="40"/>
        <v>0</v>
      </c>
      <c r="CW32" s="2">
        <f t="shared" si="41"/>
        <v>0</v>
      </c>
      <c r="CX32" s="2">
        <f t="shared" si="42"/>
        <v>0</v>
      </c>
      <c r="CY32" s="2">
        <f t="shared" si="43"/>
        <v>0</v>
      </c>
      <c r="CZ32" s="2">
        <f t="shared" si="44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43</v>
      </c>
      <c r="DW32" s="2" t="s">
        <v>43</v>
      </c>
      <c r="DX32" s="2">
        <v>1</v>
      </c>
      <c r="DY32" s="2"/>
      <c r="DZ32" s="2"/>
      <c r="EA32" s="2"/>
      <c r="EB32" s="2"/>
      <c r="EC32" s="2"/>
      <c r="ED32" s="2"/>
      <c r="EE32" s="2">
        <v>15139100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28</v>
      </c>
      <c r="EM32" s="2" t="s">
        <v>29</v>
      </c>
      <c r="EN32" s="2"/>
      <c r="EO32" s="2" t="s">
        <v>6</v>
      </c>
      <c r="EP32" s="2"/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5"/>
        <v>0</v>
      </c>
      <c r="FS32" s="2">
        <v>0</v>
      </c>
      <c r="FT32" s="2" t="s">
        <v>21</v>
      </c>
      <c r="FU32" s="2" t="s">
        <v>22</v>
      </c>
      <c r="FV32" s="2" t="s">
        <v>22</v>
      </c>
      <c r="FW32" s="2" t="s">
        <v>23</v>
      </c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-237550630</v>
      </c>
      <c r="GG32" s="2">
        <v>2</v>
      </c>
      <c r="GH32" s="2">
        <v>0</v>
      </c>
      <c r="GI32" s="2">
        <v>-2</v>
      </c>
      <c r="GJ32" s="2">
        <v>0</v>
      </c>
      <c r="GK32" s="2">
        <f>ROUND(R32*(R12)/100,2)</f>
        <v>0</v>
      </c>
      <c r="GL32" s="2">
        <f t="shared" si="46"/>
        <v>0</v>
      </c>
      <c r="GM32" s="2">
        <f t="shared" si="47"/>
        <v>0</v>
      </c>
      <c r="GN32" s="2">
        <f t="shared" si="48"/>
        <v>0</v>
      </c>
      <c r="GO32" s="2">
        <f t="shared" si="49"/>
        <v>0</v>
      </c>
      <c r="GP32" s="2">
        <f t="shared" si="50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51"/>
        <v>0</v>
      </c>
      <c r="GW32" s="2">
        <v>1</v>
      </c>
      <c r="GX32" s="2">
        <f t="shared" si="52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42</v>
      </c>
      <c r="E33" t="s">
        <v>41</v>
      </c>
      <c r="F33" t="s">
        <v>31</v>
      </c>
      <c r="G33" t="s">
        <v>42</v>
      </c>
      <c r="H33" t="s">
        <v>43</v>
      </c>
      <c r="I33">
        <f>I31*J33</f>
        <v>112</v>
      </c>
      <c r="J33">
        <v>99.999999999999986</v>
      </c>
      <c r="O33">
        <f t="shared" si="14"/>
        <v>170722.24</v>
      </c>
      <c r="P33">
        <f t="shared" si="15"/>
        <v>170722.24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16497268</v>
      </c>
      <c r="AB33">
        <f t="shared" si="25"/>
        <v>232.01</v>
      </c>
      <c r="AC33">
        <f t="shared" si="26"/>
        <v>232.01</v>
      </c>
      <c r="AD33">
        <f t="shared" si="27"/>
        <v>0</v>
      </c>
      <c r="AE33">
        <f t="shared" si="28"/>
        <v>0</v>
      </c>
      <c r="AF33">
        <f t="shared" si="29"/>
        <v>0</v>
      </c>
      <c r="AG33">
        <f t="shared" si="30"/>
        <v>0</v>
      </c>
      <c r="AH33">
        <f t="shared" si="31"/>
        <v>0</v>
      </c>
      <c r="AI33">
        <f t="shared" si="32"/>
        <v>0</v>
      </c>
      <c r="AJ33">
        <f t="shared" si="33"/>
        <v>0</v>
      </c>
      <c r="AK33">
        <v>232.01</v>
      </c>
      <c r="AL33">
        <v>232.01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6.57</v>
      </c>
      <c r="BA33">
        <v>1</v>
      </c>
      <c r="BB33">
        <v>1</v>
      </c>
      <c r="BC33">
        <v>6.57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4"/>
        <v>170722.24</v>
      </c>
      <c r="CQ33">
        <f t="shared" si="35"/>
        <v>1524.3057000000001</v>
      </c>
      <c r="CR33">
        <f t="shared" si="36"/>
        <v>0</v>
      </c>
      <c r="CS33">
        <f t="shared" si="37"/>
        <v>0</v>
      </c>
      <c r="CT33">
        <f t="shared" si="38"/>
        <v>0</v>
      </c>
      <c r="CU33">
        <f t="shared" si="39"/>
        <v>0</v>
      </c>
      <c r="CV33">
        <f t="shared" si="40"/>
        <v>0</v>
      </c>
      <c r="CW33">
        <f t="shared" si="41"/>
        <v>0</v>
      </c>
      <c r="CX33">
        <f t="shared" si="42"/>
        <v>0</v>
      </c>
      <c r="CY33">
        <f t="shared" si="43"/>
        <v>0</v>
      </c>
      <c r="CZ33">
        <f t="shared" si="44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43</v>
      </c>
      <c r="DW33" t="s">
        <v>43</v>
      </c>
      <c r="DX33">
        <v>1</v>
      </c>
      <c r="EE33">
        <v>15139100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28</v>
      </c>
      <c r="EM33" t="s">
        <v>29</v>
      </c>
      <c r="EO33" t="s">
        <v>6</v>
      </c>
      <c r="EQ33">
        <v>0</v>
      </c>
      <c r="ER33">
        <v>232.01</v>
      </c>
      <c r="ES33">
        <v>232.01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5</v>
      </c>
      <c r="FC33">
        <v>1</v>
      </c>
      <c r="FD33">
        <v>18</v>
      </c>
      <c r="FF33">
        <v>1798.67</v>
      </c>
      <c r="FQ33">
        <v>0</v>
      </c>
      <c r="FR33">
        <f t="shared" si="45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44</v>
      </c>
      <c r="GD33">
        <v>0</v>
      </c>
      <c r="GF33">
        <v>-237550630</v>
      </c>
      <c r="GG33">
        <v>1</v>
      </c>
      <c r="GH33">
        <v>3</v>
      </c>
      <c r="GI33">
        <v>4</v>
      </c>
      <c r="GJ33">
        <v>0</v>
      </c>
      <c r="GK33">
        <f>ROUND(R33*(S12)/100,2)</f>
        <v>0</v>
      </c>
      <c r="GL33">
        <f t="shared" si="46"/>
        <v>0</v>
      </c>
      <c r="GM33">
        <f t="shared" si="47"/>
        <v>170722.24</v>
      </c>
      <c r="GN33">
        <f t="shared" si="48"/>
        <v>170722.24</v>
      </c>
      <c r="GO33">
        <f t="shared" si="49"/>
        <v>0</v>
      </c>
      <c r="GP33">
        <f t="shared" si="50"/>
        <v>0</v>
      </c>
      <c r="GR33">
        <v>1</v>
      </c>
      <c r="GS33">
        <v>1</v>
      </c>
      <c r="GT33">
        <v>0</v>
      </c>
      <c r="GU33" t="s">
        <v>6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ROW(SmtRes!A49)</f>
        <v>49</v>
      </c>
      <c r="D34" s="2">
        <f>ROW(EtalonRes!A50)</f>
        <v>50</v>
      </c>
      <c r="E34" s="2" t="s">
        <v>45</v>
      </c>
      <c r="F34" s="2" t="s">
        <v>46</v>
      </c>
      <c r="G34" s="2" t="s">
        <v>47</v>
      </c>
      <c r="H34" s="2" t="s">
        <v>39</v>
      </c>
      <c r="I34" s="2">
        <f>ROUND(112/100,9)</f>
        <v>1.1200000000000001</v>
      </c>
      <c r="J34" s="2">
        <v>0</v>
      </c>
      <c r="K34" s="2"/>
      <c r="L34" s="2"/>
      <c r="M34" s="2"/>
      <c r="N34" s="2"/>
      <c r="O34" s="2">
        <f t="shared" si="14"/>
        <v>508.95</v>
      </c>
      <c r="P34" s="2">
        <f t="shared" si="15"/>
        <v>107.58</v>
      </c>
      <c r="Q34" s="2">
        <f t="shared" si="16"/>
        <v>5.75</v>
      </c>
      <c r="R34" s="2">
        <f t="shared" si="17"/>
        <v>1.72</v>
      </c>
      <c r="S34" s="2">
        <f t="shared" si="18"/>
        <v>395.62</v>
      </c>
      <c r="T34" s="2">
        <f t="shared" si="19"/>
        <v>0</v>
      </c>
      <c r="U34" s="2">
        <f t="shared" si="20"/>
        <v>46.379199999999997</v>
      </c>
      <c r="V34" s="2">
        <f t="shared" si="21"/>
        <v>0.13440000000000002</v>
      </c>
      <c r="W34" s="2">
        <f t="shared" si="22"/>
        <v>0</v>
      </c>
      <c r="X34" s="2">
        <f t="shared" si="23"/>
        <v>282.11</v>
      </c>
      <c r="Y34" s="2">
        <f t="shared" si="24"/>
        <v>206.62</v>
      </c>
      <c r="Z34" s="2"/>
      <c r="AA34" s="2">
        <v>16496956</v>
      </c>
      <c r="AB34" s="2">
        <f t="shared" si="25"/>
        <v>454.41</v>
      </c>
      <c r="AC34" s="2">
        <f t="shared" si="26"/>
        <v>96.05</v>
      </c>
      <c r="AD34" s="2">
        <f t="shared" si="27"/>
        <v>5.13</v>
      </c>
      <c r="AE34" s="2">
        <f t="shared" si="28"/>
        <v>1.54</v>
      </c>
      <c r="AF34" s="2">
        <f t="shared" si="29"/>
        <v>353.23</v>
      </c>
      <c r="AG34" s="2">
        <f t="shared" si="30"/>
        <v>0</v>
      </c>
      <c r="AH34" s="2">
        <f t="shared" si="31"/>
        <v>41.41</v>
      </c>
      <c r="AI34" s="2">
        <f t="shared" si="32"/>
        <v>0.12</v>
      </c>
      <c r="AJ34" s="2">
        <f t="shared" si="33"/>
        <v>0</v>
      </c>
      <c r="AK34" s="2">
        <v>454.41</v>
      </c>
      <c r="AL34" s="2">
        <v>96.05</v>
      </c>
      <c r="AM34" s="2">
        <v>5.13</v>
      </c>
      <c r="AN34" s="2">
        <v>1.54</v>
      </c>
      <c r="AO34" s="2">
        <v>353.23</v>
      </c>
      <c r="AP34" s="2">
        <v>0</v>
      </c>
      <c r="AQ34" s="2">
        <v>41.41</v>
      </c>
      <c r="AR34" s="2">
        <v>0.12</v>
      </c>
      <c r="AS34" s="2">
        <v>0</v>
      </c>
      <c r="AT34" s="2">
        <v>71</v>
      </c>
      <c r="AU34" s="2">
        <v>52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48</v>
      </c>
      <c r="BK34" s="2"/>
      <c r="BL34" s="2"/>
      <c r="BM34" s="2">
        <v>58001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83</v>
      </c>
      <c r="CA34" s="2">
        <v>65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34"/>
        <v>508.95</v>
      </c>
      <c r="CQ34" s="2">
        <f t="shared" si="35"/>
        <v>96.05</v>
      </c>
      <c r="CR34" s="2">
        <f t="shared" si="36"/>
        <v>5.13</v>
      </c>
      <c r="CS34" s="2">
        <f t="shared" si="37"/>
        <v>1.54</v>
      </c>
      <c r="CT34" s="2">
        <f t="shared" si="38"/>
        <v>353.23</v>
      </c>
      <c r="CU34" s="2">
        <f t="shared" si="39"/>
        <v>0</v>
      </c>
      <c r="CV34" s="2">
        <f t="shared" si="40"/>
        <v>41.41</v>
      </c>
      <c r="CW34" s="2">
        <f t="shared" si="41"/>
        <v>0.12</v>
      </c>
      <c r="CX34" s="2">
        <f t="shared" si="42"/>
        <v>0</v>
      </c>
      <c r="CY34" s="2">
        <f t="shared" si="43"/>
        <v>282.1114</v>
      </c>
      <c r="CZ34" s="2">
        <f t="shared" si="44"/>
        <v>206.61680000000001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1003</v>
      </c>
      <c r="DV34" s="2" t="s">
        <v>39</v>
      </c>
      <c r="DW34" s="2" t="s">
        <v>39</v>
      </c>
      <c r="DX34" s="2">
        <v>100</v>
      </c>
      <c r="DY34" s="2"/>
      <c r="DZ34" s="2"/>
      <c r="EA34" s="2"/>
      <c r="EB34" s="2"/>
      <c r="EC34" s="2"/>
      <c r="ED34" s="2"/>
      <c r="EE34" s="2">
        <v>15139180</v>
      </c>
      <c r="EF34" s="2">
        <v>6</v>
      </c>
      <c r="EG34" s="2" t="s">
        <v>49</v>
      </c>
      <c r="EH34" s="2">
        <v>0</v>
      </c>
      <c r="EI34" s="2" t="s">
        <v>6</v>
      </c>
      <c r="EJ34" s="2">
        <v>1</v>
      </c>
      <c r="EK34" s="2">
        <v>58001</v>
      </c>
      <c r="EL34" s="2" t="s">
        <v>50</v>
      </c>
      <c r="EM34" s="2" t="s">
        <v>51</v>
      </c>
      <c r="EN34" s="2"/>
      <c r="EO34" s="2" t="s">
        <v>6</v>
      </c>
      <c r="EP34" s="2"/>
      <c r="EQ34" s="2">
        <v>0</v>
      </c>
      <c r="ER34" s="2">
        <v>454.41</v>
      </c>
      <c r="ES34" s="2">
        <v>96.05</v>
      </c>
      <c r="ET34" s="2">
        <v>5.13</v>
      </c>
      <c r="EU34" s="2">
        <v>1.54</v>
      </c>
      <c r="EV34" s="2">
        <v>353.23</v>
      </c>
      <c r="EW34" s="2">
        <v>41.41</v>
      </c>
      <c r="EX34" s="2">
        <v>0.12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5"/>
        <v>0</v>
      </c>
      <c r="FS34" s="2">
        <v>0</v>
      </c>
      <c r="FT34" s="2"/>
      <c r="FU34" s="2"/>
      <c r="FV34" s="2" t="s">
        <v>22</v>
      </c>
      <c r="FW34" s="2" t="s">
        <v>23</v>
      </c>
      <c r="FX34" s="2">
        <v>83</v>
      </c>
      <c r="FY34" s="2">
        <v>65</v>
      </c>
      <c r="FZ34" s="2"/>
      <c r="GA34" s="2" t="s">
        <v>6</v>
      </c>
      <c r="GB34" s="2"/>
      <c r="GC34" s="2"/>
      <c r="GD34" s="2">
        <v>0</v>
      </c>
      <c r="GE34" s="2"/>
      <c r="GF34" s="2">
        <v>-58071427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6"/>
        <v>0</v>
      </c>
      <c r="GM34" s="2">
        <f t="shared" si="47"/>
        <v>997.68</v>
      </c>
      <c r="GN34" s="2">
        <f t="shared" si="48"/>
        <v>997.68</v>
      </c>
      <c r="GO34" s="2">
        <f t="shared" si="49"/>
        <v>0</v>
      </c>
      <c r="GP34" s="2">
        <f t="shared" si="50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51"/>
        <v>0</v>
      </c>
      <c r="GW34" s="2">
        <v>1</v>
      </c>
      <c r="GX34" s="2">
        <f t="shared" si="52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ROW(SmtRes!A56)</f>
        <v>56</v>
      </c>
      <c r="D35">
        <f>ROW(EtalonRes!A58)</f>
        <v>58</v>
      </c>
      <c r="E35" t="s">
        <v>45</v>
      </c>
      <c r="F35" t="s">
        <v>46</v>
      </c>
      <c r="G35" t="s">
        <v>47</v>
      </c>
      <c r="H35" t="s">
        <v>39</v>
      </c>
      <c r="I35">
        <f>ROUND(112/100,9)</f>
        <v>1.1200000000000001</v>
      </c>
      <c r="J35">
        <v>0</v>
      </c>
      <c r="O35">
        <f t="shared" si="14"/>
        <v>3343.73</v>
      </c>
      <c r="P35">
        <f t="shared" si="15"/>
        <v>706.77</v>
      </c>
      <c r="Q35">
        <f t="shared" si="16"/>
        <v>37.75</v>
      </c>
      <c r="R35">
        <f t="shared" si="17"/>
        <v>11.33</v>
      </c>
      <c r="S35">
        <f t="shared" si="18"/>
        <v>2599.21</v>
      </c>
      <c r="T35">
        <f t="shared" si="19"/>
        <v>0</v>
      </c>
      <c r="U35">
        <f t="shared" si="20"/>
        <v>46.379199999999997</v>
      </c>
      <c r="V35">
        <f t="shared" si="21"/>
        <v>0.13440000000000002</v>
      </c>
      <c r="W35">
        <f t="shared" si="22"/>
        <v>0</v>
      </c>
      <c r="X35">
        <f t="shared" si="23"/>
        <v>2166.75</v>
      </c>
      <c r="Y35">
        <f t="shared" si="24"/>
        <v>1696.85</v>
      </c>
      <c r="AA35">
        <v>16497268</v>
      </c>
      <c r="AB35">
        <f t="shared" si="25"/>
        <v>454.41</v>
      </c>
      <c r="AC35">
        <f t="shared" si="26"/>
        <v>96.05</v>
      </c>
      <c r="AD35">
        <f t="shared" si="27"/>
        <v>5.13</v>
      </c>
      <c r="AE35">
        <f t="shared" si="28"/>
        <v>1.54</v>
      </c>
      <c r="AF35">
        <f t="shared" si="29"/>
        <v>353.23</v>
      </c>
      <c r="AG35">
        <f t="shared" si="30"/>
        <v>0</v>
      </c>
      <c r="AH35">
        <f t="shared" si="31"/>
        <v>41.41</v>
      </c>
      <c r="AI35">
        <f t="shared" si="32"/>
        <v>0.12</v>
      </c>
      <c r="AJ35">
        <f t="shared" si="33"/>
        <v>0</v>
      </c>
      <c r="AK35">
        <v>454.41</v>
      </c>
      <c r="AL35">
        <v>96.05</v>
      </c>
      <c r="AM35">
        <v>5.13</v>
      </c>
      <c r="AN35">
        <v>1.54</v>
      </c>
      <c r="AO35">
        <v>353.23</v>
      </c>
      <c r="AP35">
        <v>0</v>
      </c>
      <c r="AQ35">
        <v>41.41</v>
      </c>
      <c r="AR35">
        <v>0.12</v>
      </c>
      <c r="AS35">
        <v>0</v>
      </c>
      <c r="AT35">
        <v>83</v>
      </c>
      <c r="AU35">
        <v>65</v>
      </c>
      <c r="AV35">
        <v>1</v>
      </c>
      <c r="AW35">
        <v>1</v>
      </c>
      <c r="AZ35">
        <v>6.57</v>
      </c>
      <c r="BA35">
        <v>6.57</v>
      </c>
      <c r="BB35">
        <v>6.57</v>
      </c>
      <c r="BC35">
        <v>6.57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48</v>
      </c>
      <c r="BM35">
        <v>58001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6.57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83</v>
      </c>
      <c r="CA35">
        <v>65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4"/>
        <v>3343.73</v>
      </c>
      <c r="CQ35">
        <f t="shared" si="35"/>
        <v>631.04849999999999</v>
      </c>
      <c r="CR35">
        <f t="shared" si="36"/>
        <v>33.704100000000004</v>
      </c>
      <c r="CS35">
        <f t="shared" si="37"/>
        <v>10.117800000000001</v>
      </c>
      <c r="CT35">
        <f t="shared" si="38"/>
        <v>2320.7211000000002</v>
      </c>
      <c r="CU35">
        <f t="shared" si="39"/>
        <v>0</v>
      </c>
      <c r="CV35">
        <f t="shared" si="40"/>
        <v>41.41</v>
      </c>
      <c r="CW35">
        <f t="shared" si="41"/>
        <v>0.12</v>
      </c>
      <c r="CX35">
        <f t="shared" si="42"/>
        <v>0</v>
      </c>
      <c r="CY35">
        <f t="shared" si="43"/>
        <v>2166.7482</v>
      </c>
      <c r="CZ35">
        <f t="shared" si="44"/>
        <v>1696.8510000000001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1003</v>
      </c>
      <c r="DV35" t="s">
        <v>39</v>
      </c>
      <c r="DW35" t="s">
        <v>39</v>
      </c>
      <c r="DX35">
        <v>100</v>
      </c>
      <c r="EE35">
        <v>15139180</v>
      </c>
      <c r="EF35">
        <v>6</v>
      </c>
      <c r="EG35" t="s">
        <v>49</v>
      </c>
      <c r="EH35">
        <v>0</v>
      </c>
      <c r="EI35" t="s">
        <v>6</v>
      </c>
      <c r="EJ35">
        <v>1</v>
      </c>
      <c r="EK35">
        <v>58001</v>
      </c>
      <c r="EL35" t="s">
        <v>50</v>
      </c>
      <c r="EM35" t="s">
        <v>51</v>
      </c>
      <c r="EO35" t="s">
        <v>6</v>
      </c>
      <c r="EQ35">
        <v>0</v>
      </c>
      <c r="ER35">
        <v>454.41</v>
      </c>
      <c r="ES35">
        <v>96.05</v>
      </c>
      <c r="ET35">
        <v>5.13</v>
      </c>
      <c r="EU35">
        <v>1.54</v>
      </c>
      <c r="EV35">
        <v>353.23</v>
      </c>
      <c r="EW35">
        <v>41.41</v>
      </c>
      <c r="EX35">
        <v>0.12</v>
      </c>
      <c r="EY35">
        <v>0</v>
      </c>
      <c r="FQ35">
        <v>0</v>
      </c>
      <c r="FR35">
        <f t="shared" si="45"/>
        <v>0</v>
      </c>
      <c r="FS35">
        <v>0</v>
      </c>
      <c r="FX35">
        <v>83</v>
      </c>
      <c r="FY35">
        <v>65</v>
      </c>
      <c r="GA35" t="s">
        <v>6</v>
      </c>
      <c r="GD35">
        <v>0</v>
      </c>
      <c r="GF35">
        <v>-58071427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6"/>
        <v>0</v>
      </c>
      <c r="GM35">
        <f t="shared" si="47"/>
        <v>7207.33</v>
      </c>
      <c r="GN35">
        <f t="shared" si="48"/>
        <v>7207.33</v>
      </c>
      <c r="GO35">
        <f t="shared" si="49"/>
        <v>0</v>
      </c>
      <c r="GP35">
        <f t="shared" si="50"/>
        <v>0</v>
      </c>
      <c r="GR35">
        <v>0</v>
      </c>
      <c r="GS35">
        <v>0</v>
      </c>
      <c r="GT35">
        <v>0</v>
      </c>
      <c r="GU35" t="s">
        <v>6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49</v>
      </c>
      <c r="D36" s="2"/>
      <c r="E36" s="2" t="s">
        <v>52</v>
      </c>
      <c r="F36" s="2" t="s">
        <v>31</v>
      </c>
      <c r="G36" s="2" t="s">
        <v>53</v>
      </c>
      <c r="H36" s="2" t="s">
        <v>43</v>
      </c>
      <c r="I36" s="2">
        <f>I34*J36</f>
        <v>112</v>
      </c>
      <c r="J36" s="2">
        <v>99.999999999999986</v>
      </c>
      <c r="K36" s="2"/>
      <c r="L36" s="2"/>
      <c r="M36" s="2"/>
      <c r="N36" s="2"/>
      <c r="O36" s="2">
        <f t="shared" si="14"/>
        <v>0</v>
      </c>
      <c r="P36" s="2">
        <f t="shared" si="15"/>
        <v>0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16496956</v>
      </c>
      <c r="AB36" s="2">
        <f t="shared" si="25"/>
        <v>0</v>
      </c>
      <c r="AC36" s="2">
        <f t="shared" si="26"/>
        <v>0</v>
      </c>
      <c r="AD36" s="2">
        <f t="shared" si="27"/>
        <v>0</v>
      </c>
      <c r="AE36" s="2">
        <f t="shared" si="28"/>
        <v>0</v>
      </c>
      <c r="AF36" s="2">
        <f t="shared" si="29"/>
        <v>0</v>
      </c>
      <c r="AG36" s="2">
        <f t="shared" si="30"/>
        <v>0</v>
      </c>
      <c r="AH36" s="2">
        <f t="shared" si="31"/>
        <v>0</v>
      </c>
      <c r="AI36" s="2">
        <f t="shared" si="32"/>
        <v>0</v>
      </c>
      <c r="AJ36" s="2">
        <f t="shared" si="33"/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71</v>
      </c>
      <c r="AU36" s="2">
        <v>52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6</v>
      </c>
      <c r="BK36" s="2"/>
      <c r="BL36" s="2"/>
      <c r="BM36" s="2">
        <v>58001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83</v>
      </c>
      <c r="CA36" s="2">
        <v>65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34"/>
        <v>0</v>
      </c>
      <c r="CQ36" s="2">
        <f t="shared" si="35"/>
        <v>0</v>
      </c>
      <c r="CR36" s="2">
        <f t="shared" si="36"/>
        <v>0</v>
      </c>
      <c r="CS36" s="2">
        <f t="shared" si="37"/>
        <v>0</v>
      </c>
      <c r="CT36" s="2">
        <f t="shared" si="38"/>
        <v>0</v>
      </c>
      <c r="CU36" s="2">
        <f t="shared" si="39"/>
        <v>0</v>
      </c>
      <c r="CV36" s="2">
        <f t="shared" si="40"/>
        <v>0</v>
      </c>
      <c r="CW36" s="2">
        <f t="shared" si="41"/>
        <v>0</v>
      </c>
      <c r="CX36" s="2">
        <f t="shared" si="42"/>
        <v>0</v>
      </c>
      <c r="CY36" s="2">
        <f t="shared" si="43"/>
        <v>0</v>
      </c>
      <c r="CZ36" s="2">
        <f t="shared" si="44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43</v>
      </c>
      <c r="DW36" s="2" t="s">
        <v>43</v>
      </c>
      <c r="DX36" s="2">
        <v>1</v>
      </c>
      <c r="DY36" s="2"/>
      <c r="DZ36" s="2"/>
      <c r="EA36" s="2"/>
      <c r="EB36" s="2"/>
      <c r="EC36" s="2"/>
      <c r="ED36" s="2"/>
      <c r="EE36" s="2">
        <v>15139180</v>
      </c>
      <c r="EF36" s="2">
        <v>6</v>
      </c>
      <c r="EG36" s="2" t="s">
        <v>49</v>
      </c>
      <c r="EH36" s="2">
        <v>0</v>
      </c>
      <c r="EI36" s="2" t="s">
        <v>6</v>
      </c>
      <c r="EJ36" s="2">
        <v>1</v>
      </c>
      <c r="EK36" s="2">
        <v>58001</v>
      </c>
      <c r="EL36" s="2" t="s">
        <v>50</v>
      </c>
      <c r="EM36" s="2" t="s">
        <v>51</v>
      </c>
      <c r="EN36" s="2"/>
      <c r="EO36" s="2" t="s">
        <v>6</v>
      </c>
      <c r="EP36" s="2"/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5"/>
        <v>0</v>
      </c>
      <c r="FS36" s="2">
        <v>0</v>
      </c>
      <c r="FT36" s="2"/>
      <c r="FU36" s="2"/>
      <c r="FV36" s="2" t="s">
        <v>22</v>
      </c>
      <c r="FW36" s="2" t="s">
        <v>23</v>
      </c>
      <c r="FX36" s="2">
        <v>83</v>
      </c>
      <c r="FY36" s="2">
        <v>65</v>
      </c>
      <c r="FZ36" s="2"/>
      <c r="GA36" s="2" t="s">
        <v>6</v>
      </c>
      <c r="GB36" s="2"/>
      <c r="GC36" s="2"/>
      <c r="GD36" s="2">
        <v>0</v>
      </c>
      <c r="GE36" s="2"/>
      <c r="GF36" s="2">
        <v>-1929252935</v>
      </c>
      <c r="GG36" s="2">
        <v>2</v>
      </c>
      <c r="GH36" s="2">
        <v>0</v>
      </c>
      <c r="GI36" s="2">
        <v>-2</v>
      </c>
      <c r="GJ36" s="2">
        <v>0</v>
      </c>
      <c r="GK36" s="2">
        <f>ROUND(R36*(R12)/100,2)</f>
        <v>0</v>
      </c>
      <c r="GL36" s="2">
        <f t="shared" si="46"/>
        <v>0</v>
      </c>
      <c r="GM36" s="2">
        <f t="shared" si="47"/>
        <v>0</v>
      </c>
      <c r="GN36" s="2">
        <f t="shared" si="48"/>
        <v>0</v>
      </c>
      <c r="GO36" s="2">
        <f t="shared" si="49"/>
        <v>0</v>
      </c>
      <c r="GP36" s="2">
        <f t="shared" si="50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51"/>
        <v>0</v>
      </c>
      <c r="GW36" s="2">
        <v>1</v>
      </c>
      <c r="GX36" s="2">
        <f t="shared" si="52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56</v>
      </c>
      <c r="E37" t="s">
        <v>52</v>
      </c>
      <c r="F37" t="s">
        <v>31</v>
      </c>
      <c r="G37" t="s">
        <v>53</v>
      </c>
      <c r="H37" t="s">
        <v>43</v>
      </c>
      <c r="I37">
        <f>I35*J37</f>
        <v>112</v>
      </c>
      <c r="J37">
        <v>99.999999999999986</v>
      </c>
      <c r="O37">
        <f t="shared" si="14"/>
        <v>21074.46</v>
      </c>
      <c r="P37">
        <f t="shared" si="15"/>
        <v>21074.46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16497268</v>
      </c>
      <c r="AB37">
        <f t="shared" si="25"/>
        <v>28.64</v>
      </c>
      <c r="AC37">
        <f t="shared" si="26"/>
        <v>28.64</v>
      </c>
      <c r="AD37">
        <f t="shared" si="27"/>
        <v>0</v>
      </c>
      <c r="AE37">
        <f t="shared" si="28"/>
        <v>0</v>
      </c>
      <c r="AF37">
        <f t="shared" si="29"/>
        <v>0</v>
      </c>
      <c r="AG37">
        <f t="shared" si="30"/>
        <v>0</v>
      </c>
      <c r="AH37">
        <f t="shared" si="31"/>
        <v>0</v>
      </c>
      <c r="AI37">
        <f t="shared" si="32"/>
        <v>0</v>
      </c>
      <c r="AJ37">
        <f t="shared" si="33"/>
        <v>0</v>
      </c>
      <c r="AK37">
        <v>28.64</v>
      </c>
      <c r="AL37">
        <v>28.64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83</v>
      </c>
      <c r="AU37">
        <v>65</v>
      </c>
      <c r="AV37">
        <v>1</v>
      </c>
      <c r="AW37">
        <v>1</v>
      </c>
      <c r="AZ37">
        <v>6.57</v>
      </c>
      <c r="BA37">
        <v>1</v>
      </c>
      <c r="BB37">
        <v>1</v>
      </c>
      <c r="BC37">
        <v>6.57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6</v>
      </c>
      <c r="BM37">
        <v>58001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83</v>
      </c>
      <c r="CA37">
        <v>65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34"/>
        <v>21074.46</v>
      </c>
      <c r="CQ37">
        <f t="shared" si="35"/>
        <v>188.16480000000001</v>
      </c>
      <c r="CR37">
        <f t="shared" si="36"/>
        <v>0</v>
      </c>
      <c r="CS37">
        <f t="shared" si="37"/>
        <v>0</v>
      </c>
      <c r="CT37">
        <f t="shared" si="38"/>
        <v>0</v>
      </c>
      <c r="CU37">
        <f t="shared" si="39"/>
        <v>0</v>
      </c>
      <c r="CV37">
        <f t="shared" si="40"/>
        <v>0</v>
      </c>
      <c r="CW37">
        <f t="shared" si="41"/>
        <v>0</v>
      </c>
      <c r="CX37">
        <f t="shared" si="42"/>
        <v>0</v>
      </c>
      <c r="CY37">
        <f t="shared" si="43"/>
        <v>0</v>
      </c>
      <c r="CZ37">
        <f t="shared" si="44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43</v>
      </c>
      <c r="DW37" t="s">
        <v>43</v>
      </c>
      <c r="DX37">
        <v>1</v>
      </c>
      <c r="EE37">
        <v>15139180</v>
      </c>
      <c r="EF37">
        <v>6</v>
      </c>
      <c r="EG37" t="s">
        <v>49</v>
      </c>
      <c r="EH37">
        <v>0</v>
      </c>
      <c r="EI37" t="s">
        <v>6</v>
      </c>
      <c r="EJ37">
        <v>1</v>
      </c>
      <c r="EK37">
        <v>58001</v>
      </c>
      <c r="EL37" t="s">
        <v>50</v>
      </c>
      <c r="EM37" t="s">
        <v>51</v>
      </c>
      <c r="EO37" t="s">
        <v>6</v>
      </c>
      <c r="EQ37">
        <v>0</v>
      </c>
      <c r="ER37">
        <v>28.64</v>
      </c>
      <c r="ES37">
        <v>28.64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5</v>
      </c>
      <c r="FC37">
        <v>1</v>
      </c>
      <c r="FD37">
        <v>18</v>
      </c>
      <c r="FF37">
        <v>222</v>
      </c>
      <c r="FQ37">
        <v>0</v>
      </c>
      <c r="FR37">
        <f t="shared" si="45"/>
        <v>0</v>
      </c>
      <c r="FS37">
        <v>0</v>
      </c>
      <c r="FX37">
        <v>83</v>
      </c>
      <c r="FY37">
        <v>65</v>
      </c>
      <c r="GA37" t="s">
        <v>54</v>
      </c>
      <c r="GD37">
        <v>0</v>
      </c>
      <c r="GF37">
        <v>-1929252935</v>
      </c>
      <c r="GG37">
        <v>1</v>
      </c>
      <c r="GH37">
        <v>3</v>
      </c>
      <c r="GI37">
        <v>4</v>
      </c>
      <c r="GJ37">
        <v>0</v>
      </c>
      <c r="GK37">
        <f>ROUND(R37*(S12)/100,2)</f>
        <v>0</v>
      </c>
      <c r="GL37">
        <f t="shared" si="46"/>
        <v>0</v>
      </c>
      <c r="GM37">
        <f t="shared" si="47"/>
        <v>21074.46</v>
      </c>
      <c r="GN37">
        <f t="shared" si="48"/>
        <v>21074.46</v>
      </c>
      <c r="GO37">
        <f t="shared" si="49"/>
        <v>0</v>
      </c>
      <c r="GP37">
        <f t="shared" si="50"/>
        <v>0</v>
      </c>
      <c r="GR37">
        <v>1</v>
      </c>
      <c r="GS37">
        <v>1</v>
      </c>
      <c r="GT37">
        <v>0</v>
      </c>
      <c r="GU37" t="s">
        <v>6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ROW(SmtRes!A67)</f>
        <v>67</v>
      </c>
      <c r="D38" s="2">
        <f>ROW(EtalonRes!A66)</f>
        <v>66</v>
      </c>
      <c r="E38" s="2" t="s">
        <v>55</v>
      </c>
      <c r="F38" s="2" t="s">
        <v>56</v>
      </c>
      <c r="G38" s="2" t="s">
        <v>57</v>
      </c>
      <c r="H38" s="2" t="s">
        <v>16</v>
      </c>
      <c r="I38" s="2">
        <f>ROUND(148.48/100,9)</f>
        <v>1.4847999999999999</v>
      </c>
      <c r="J38" s="2">
        <v>0</v>
      </c>
      <c r="K38" s="2"/>
      <c r="L38" s="2"/>
      <c r="M38" s="2"/>
      <c r="N38" s="2"/>
      <c r="O38" s="2">
        <f t="shared" si="14"/>
        <v>2322.09</v>
      </c>
      <c r="P38" s="2">
        <f t="shared" si="15"/>
        <v>0.53</v>
      </c>
      <c r="Q38" s="2">
        <f t="shared" si="16"/>
        <v>52.5</v>
      </c>
      <c r="R38" s="2">
        <f t="shared" si="17"/>
        <v>10.220000000000001</v>
      </c>
      <c r="S38" s="2">
        <f t="shared" si="18"/>
        <v>2269.06</v>
      </c>
      <c r="T38" s="2">
        <f t="shared" si="19"/>
        <v>0</v>
      </c>
      <c r="U38" s="2">
        <f t="shared" si="20"/>
        <v>247.17465599999997</v>
      </c>
      <c r="V38" s="2">
        <f t="shared" si="21"/>
        <v>0.86118399999999984</v>
      </c>
      <c r="W38" s="2">
        <f t="shared" si="22"/>
        <v>0</v>
      </c>
      <c r="X38" s="2">
        <f t="shared" si="23"/>
        <v>1823.42</v>
      </c>
      <c r="Y38" s="2">
        <f t="shared" si="24"/>
        <v>843.33</v>
      </c>
      <c r="Z38" s="2"/>
      <c r="AA38" s="2">
        <v>16496956</v>
      </c>
      <c r="AB38" s="2">
        <f t="shared" si="25"/>
        <v>1563.91</v>
      </c>
      <c r="AC38" s="2">
        <f t="shared" si="26"/>
        <v>0.36</v>
      </c>
      <c r="AD38" s="2">
        <f t="shared" si="27"/>
        <v>35.36</v>
      </c>
      <c r="AE38" s="2">
        <f t="shared" si="28"/>
        <v>6.88</v>
      </c>
      <c r="AF38" s="2">
        <f t="shared" si="29"/>
        <v>1528.19</v>
      </c>
      <c r="AG38" s="2">
        <f t="shared" si="30"/>
        <v>0</v>
      </c>
      <c r="AH38" s="2">
        <f t="shared" si="31"/>
        <v>166.47</v>
      </c>
      <c r="AI38" s="2">
        <f t="shared" si="32"/>
        <v>0.57999999999999996</v>
      </c>
      <c r="AJ38" s="2">
        <f t="shared" si="33"/>
        <v>0</v>
      </c>
      <c r="AK38" s="2">
        <v>1563.91</v>
      </c>
      <c r="AL38" s="2">
        <v>0.36</v>
      </c>
      <c r="AM38" s="2">
        <v>35.36</v>
      </c>
      <c r="AN38" s="2">
        <v>6.88</v>
      </c>
      <c r="AO38" s="2">
        <v>1528.19</v>
      </c>
      <c r="AP38" s="2">
        <v>0</v>
      </c>
      <c r="AQ38" s="2">
        <v>166.47</v>
      </c>
      <c r="AR38" s="2">
        <v>0.57999999999999996</v>
      </c>
      <c r="AS38" s="2">
        <v>0</v>
      </c>
      <c r="AT38" s="2">
        <v>80</v>
      </c>
      <c r="AU38" s="2">
        <v>37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0</v>
      </c>
      <c r="BI38" s="2">
        <v>1</v>
      </c>
      <c r="BJ38" s="2" t="s">
        <v>58</v>
      </c>
      <c r="BK38" s="2"/>
      <c r="BL38" s="2"/>
      <c r="BM38" s="2">
        <v>15001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105</v>
      </c>
      <c r="CA38" s="2">
        <v>55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34"/>
        <v>2322.09</v>
      </c>
      <c r="CQ38" s="2">
        <f t="shared" si="35"/>
        <v>0.36</v>
      </c>
      <c r="CR38" s="2">
        <f t="shared" si="36"/>
        <v>35.36</v>
      </c>
      <c r="CS38" s="2">
        <f t="shared" si="37"/>
        <v>6.88</v>
      </c>
      <c r="CT38" s="2">
        <f t="shared" si="38"/>
        <v>1528.19</v>
      </c>
      <c r="CU38" s="2">
        <f t="shared" si="39"/>
        <v>0</v>
      </c>
      <c r="CV38" s="2">
        <f t="shared" si="40"/>
        <v>166.47</v>
      </c>
      <c r="CW38" s="2">
        <f t="shared" si="41"/>
        <v>0.57999999999999996</v>
      </c>
      <c r="CX38" s="2">
        <f t="shared" si="42"/>
        <v>0</v>
      </c>
      <c r="CY38" s="2">
        <f t="shared" si="43"/>
        <v>1823.4239999999998</v>
      </c>
      <c r="CZ38" s="2">
        <f t="shared" si="44"/>
        <v>843.33359999999982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1005</v>
      </c>
      <c r="DV38" s="2" t="s">
        <v>16</v>
      </c>
      <c r="DW38" s="2" t="s">
        <v>16</v>
      </c>
      <c r="DX38" s="2">
        <v>100</v>
      </c>
      <c r="DY38" s="2"/>
      <c r="DZ38" s="2"/>
      <c r="EA38" s="2"/>
      <c r="EB38" s="2"/>
      <c r="EC38" s="2"/>
      <c r="ED38" s="2"/>
      <c r="EE38" s="2">
        <v>15139126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15001</v>
      </c>
      <c r="EL38" s="2" t="s">
        <v>59</v>
      </c>
      <c r="EM38" s="2" t="s">
        <v>60</v>
      </c>
      <c r="EN38" s="2"/>
      <c r="EO38" s="2" t="s">
        <v>6</v>
      </c>
      <c r="EP38" s="2"/>
      <c r="EQ38" s="2">
        <v>0</v>
      </c>
      <c r="ER38" s="2">
        <v>1563.91</v>
      </c>
      <c r="ES38" s="2">
        <v>0.36</v>
      </c>
      <c r="ET38" s="2">
        <v>35.36</v>
      </c>
      <c r="EU38" s="2">
        <v>6.88</v>
      </c>
      <c r="EV38" s="2">
        <v>1528.19</v>
      </c>
      <c r="EW38" s="2">
        <v>166.47</v>
      </c>
      <c r="EX38" s="2">
        <v>0.57999999999999996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5"/>
        <v>0</v>
      </c>
      <c r="FS38" s="2">
        <v>0</v>
      </c>
      <c r="FT38" s="2" t="s">
        <v>21</v>
      </c>
      <c r="FU38" s="2" t="s">
        <v>22</v>
      </c>
      <c r="FV38" s="2" t="s">
        <v>22</v>
      </c>
      <c r="FW38" s="2" t="s">
        <v>23</v>
      </c>
      <c r="FX38" s="2">
        <v>94.5</v>
      </c>
      <c r="FY38" s="2">
        <v>46.75</v>
      </c>
      <c r="FZ38" s="2"/>
      <c r="GA38" s="2" t="s">
        <v>6</v>
      </c>
      <c r="GB38" s="2"/>
      <c r="GC38" s="2"/>
      <c r="GD38" s="2">
        <v>0</v>
      </c>
      <c r="GE38" s="2"/>
      <c r="GF38" s="2">
        <v>251333065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6"/>
        <v>0</v>
      </c>
      <c r="GM38" s="2">
        <f t="shared" si="47"/>
        <v>4988.84</v>
      </c>
      <c r="GN38" s="2">
        <f t="shared" si="48"/>
        <v>4988.84</v>
      </c>
      <c r="GO38" s="2">
        <f t="shared" si="49"/>
        <v>0</v>
      </c>
      <c r="GP38" s="2">
        <f t="shared" si="50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51"/>
        <v>0</v>
      </c>
      <c r="GW38" s="2">
        <v>1</v>
      </c>
      <c r="GX38" s="2">
        <f t="shared" si="52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ROW(SmtRes!A78)</f>
        <v>78</v>
      </c>
      <c r="D39">
        <f>ROW(EtalonRes!A74)</f>
        <v>74</v>
      </c>
      <c r="E39" t="s">
        <v>55</v>
      </c>
      <c r="F39" t="s">
        <v>56</v>
      </c>
      <c r="G39" t="s">
        <v>57</v>
      </c>
      <c r="H39" t="s">
        <v>16</v>
      </c>
      <c r="I39">
        <f>ROUND(148.48/100,9)</f>
        <v>1.4847999999999999</v>
      </c>
      <c r="J39">
        <v>0</v>
      </c>
      <c r="O39">
        <f t="shared" si="14"/>
        <v>15256.15</v>
      </c>
      <c r="P39">
        <f t="shared" si="15"/>
        <v>3.51</v>
      </c>
      <c r="Q39">
        <f t="shared" si="16"/>
        <v>344.94</v>
      </c>
      <c r="R39">
        <f t="shared" si="17"/>
        <v>67.12</v>
      </c>
      <c r="S39">
        <f t="shared" si="18"/>
        <v>14907.7</v>
      </c>
      <c r="T39">
        <f t="shared" si="19"/>
        <v>0</v>
      </c>
      <c r="U39">
        <f t="shared" si="20"/>
        <v>247.17465599999997</v>
      </c>
      <c r="V39">
        <f t="shared" si="21"/>
        <v>0.86118399999999984</v>
      </c>
      <c r="W39">
        <f t="shared" si="22"/>
        <v>0</v>
      </c>
      <c r="X39">
        <f t="shared" si="23"/>
        <v>14226.08</v>
      </c>
      <c r="Y39">
        <f t="shared" si="24"/>
        <v>7038.17</v>
      </c>
      <c r="AA39">
        <v>16497268</v>
      </c>
      <c r="AB39">
        <f t="shared" si="25"/>
        <v>1563.91</v>
      </c>
      <c r="AC39">
        <f t="shared" si="26"/>
        <v>0.36</v>
      </c>
      <c r="AD39">
        <f t="shared" si="27"/>
        <v>35.36</v>
      </c>
      <c r="AE39">
        <f t="shared" si="28"/>
        <v>6.88</v>
      </c>
      <c r="AF39">
        <f t="shared" si="29"/>
        <v>1528.19</v>
      </c>
      <c r="AG39">
        <f t="shared" si="30"/>
        <v>0</v>
      </c>
      <c r="AH39">
        <f t="shared" si="31"/>
        <v>166.47</v>
      </c>
      <c r="AI39">
        <f t="shared" si="32"/>
        <v>0.57999999999999996</v>
      </c>
      <c r="AJ39">
        <f t="shared" si="33"/>
        <v>0</v>
      </c>
      <c r="AK39">
        <v>1563.91</v>
      </c>
      <c r="AL39">
        <v>0.36</v>
      </c>
      <c r="AM39">
        <v>35.36</v>
      </c>
      <c r="AN39">
        <v>6.88</v>
      </c>
      <c r="AO39">
        <v>1528.19</v>
      </c>
      <c r="AP39">
        <v>0</v>
      </c>
      <c r="AQ39">
        <v>166.47</v>
      </c>
      <c r="AR39">
        <v>0.57999999999999996</v>
      </c>
      <c r="AS39">
        <v>0</v>
      </c>
      <c r="AT39">
        <v>95</v>
      </c>
      <c r="AU39">
        <v>47</v>
      </c>
      <c r="AV39">
        <v>1</v>
      </c>
      <c r="AW39">
        <v>1</v>
      </c>
      <c r="AZ39">
        <v>6.57</v>
      </c>
      <c r="BA39">
        <v>6.57</v>
      </c>
      <c r="BB39">
        <v>6.57</v>
      </c>
      <c r="BC39">
        <v>6.57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58</v>
      </c>
      <c r="BM39">
        <v>15001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6.57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105</v>
      </c>
      <c r="CA39">
        <v>55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4"/>
        <v>15256.150000000001</v>
      </c>
      <c r="CQ39">
        <f t="shared" si="35"/>
        <v>2.3652000000000002</v>
      </c>
      <c r="CR39">
        <f t="shared" si="36"/>
        <v>232.3152</v>
      </c>
      <c r="CS39">
        <f t="shared" si="37"/>
        <v>45.201599999999999</v>
      </c>
      <c r="CT39">
        <f t="shared" si="38"/>
        <v>10040.2083</v>
      </c>
      <c r="CU39">
        <f t="shared" si="39"/>
        <v>0</v>
      </c>
      <c r="CV39">
        <f t="shared" si="40"/>
        <v>166.47</v>
      </c>
      <c r="CW39">
        <f t="shared" si="41"/>
        <v>0.57999999999999996</v>
      </c>
      <c r="CX39">
        <f t="shared" si="42"/>
        <v>0</v>
      </c>
      <c r="CY39">
        <f t="shared" si="43"/>
        <v>14226.079000000002</v>
      </c>
      <c r="CZ39">
        <f t="shared" si="44"/>
        <v>7038.1654000000008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1005</v>
      </c>
      <c r="DV39" t="s">
        <v>16</v>
      </c>
      <c r="DW39" t="s">
        <v>16</v>
      </c>
      <c r="DX39">
        <v>100</v>
      </c>
      <c r="EE39">
        <v>15139126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15001</v>
      </c>
      <c r="EL39" t="s">
        <v>59</v>
      </c>
      <c r="EM39" t="s">
        <v>60</v>
      </c>
      <c r="EO39" t="s">
        <v>6</v>
      </c>
      <c r="EQ39">
        <v>0</v>
      </c>
      <c r="ER39">
        <v>1563.91</v>
      </c>
      <c r="ES39">
        <v>0.36</v>
      </c>
      <c r="ET39">
        <v>35.36</v>
      </c>
      <c r="EU39">
        <v>6.88</v>
      </c>
      <c r="EV39">
        <v>1528.19</v>
      </c>
      <c r="EW39">
        <v>166.47</v>
      </c>
      <c r="EX39">
        <v>0.57999999999999996</v>
      </c>
      <c r="EY39">
        <v>0</v>
      </c>
      <c r="FQ39">
        <v>0</v>
      </c>
      <c r="FR39">
        <f t="shared" si="45"/>
        <v>0</v>
      </c>
      <c r="FS39">
        <v>0</v>
      </c>
      <c r="FT39" t="s">
        <v>21</v>
      </c>
      <c r="FU39" t="s">
        <v>22</v>
      </c>
      <c r="FX39">
        <v>94.5</v>
      </c>
      <c r="FY39">
        <v>46.75</v>
      </c>
      <c r="GA39" t="s">
        <v>6</v>
      </c>
      <c r="GD39">
        <v>0</v>
      </c>
      <c r="GF39">
        <v>251333065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6"/>
        <v>0</v>
      </c>
      <c r="GM39">
        <f t="shared" si="47"/>
        <v>36520.400000000001</v>
      </c>
      <c r="GN39">
        <f t="shared" si="48"/>
        <v>36520.400000000001</v>
      </c>
      <c r="GO39">
        <f t="shared" si="49"/>
        <v>0</v>
      </c>
      <c r="GP39">
        <f t="shared" si="50"/>
        <v>0</v>
      </c>
      <c r="GR39">
        <v>0</v>
      </c>
      <c r="GS39">
        <v>0</v>
      </c>
      <c r="GT39">
        <v>0</v>
      </c>
      <c r="GU39" t="s">
        <v>6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61</v>
      </c>
      <c r="D40" s="2"/>
      <c r="E40" s="2" t="s">
        <v>61</v>
      </c>
      <c r="F40" s="2" t="s">
        <v>62</v>
      </c>
      <c r="G40" s="2" t="s">
        <v>63</v>
      </c>
      <c r="H40" s="2" t="s">
        <v>33</v>
      </c>
      <c r="I40" s="2">
        <f>I38*J40</f>
        <v>155.904</v>
      </c>
      <c r="J40" s="2">
        <v>105</v>
      </c>
      <c r="K40" s="2"/>
      <c r="L40" s="2"/>
      <c r="M40" s="2"/>
      <c r="N40" s="2"/>
      <c r="O40" s="2">
        <f t="shared" si="14"/>
        <v>0</v>
      </c>
      <c r="P40" s="2">
        <f t="shared" si="15"/>
        <v>0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16496956</v>
      </c>
      <c r="AB40" s="2">
        <f t="shared" si="25"/>
        <v>0</v>
      </c>
      <c r="AC40" s="2">
        <f t="shared" si="26"/>
        <v>0</v>
      </c>
      <c r="AD40" s="2">
        <f t="shared" si="27"/>
        <v>0</v>
      </c>
      <c r="AE40" s="2">
        <f t="shared" si="28"/>
        <v>0</v>
      </c>
      <c r="AF40" s="2">
        <f t="shared" si="29"/>
        <v>0</v>
      </c>
      <c r="AG40" s="2">
        <f t="shared" si="30"/>
        <v>0</v>
      </c>
      <c r="AH40" s="2">
        <f t="shared" si="31"/>
        <v>0</v>
      </c>
      <c r="AI40" s="2">
        <f t="shared" si="32"/>
        <v>0</v>
      </c>
      <c r="AJ40" s="2">
        <f t="shared" si="33"/>
        <v>0</v>
      </c>
      <c r="AK40" s="2">
        <v>0</v>
      </c>
      <c r="AL40" s="2">
        <v>0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80</v>
      </c>
      <c r="AU40" s="2">
        <v>37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34"/>
        <v>0</v>
      </c>
      <c r="CQ40" s="2">
        <f t="shared" si="35"/>
        <v>0</v>
      </c>
      <c r="CR40" s="2">
        <f t="shared" si="36"/>
        <v>0</v>
      </c>
      <c r="CS40" s="2">
        <f t="shared" si="37"/>
        <v>0</v>
      </c>
      <c r="CT40" s="2">
        <f t="shared" si="38"/>
        <v>0</v>
      </c>
      <c r="CU40" s="2">
        <f t="shared" si="39"/>
        <v>0</v>
      </c>
      <c r="CV40" s="2">
        <f t="shared" si="40"/>
        <v>0</v>
      </c>
      <c r="CW40" s="2">
        <f t="shared" si="41"/>
        <v>0</v>
      </c>
      <c r="CX40" s="2">
        <f t="shared" si="42"/>
        <v>0</v>
      </c>
      <c r="CY40" s="2">
        <f t="shared" si="43"/>
        <v>0</v>
      </c>
      <c r="CZ40" s="2">
        <f t="shared" si="44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1005</v>
      </c>
      <c r="DV40" s="2" t="s">
        <v>33</v>
      </c>
      <c r="DW40" s="2" t="s">
        <v>33</v>
      </c>
      <c r="DX40" s="2">
        <v>1</v>
      </c>
      <c r="DY40" s="2"/>
      <c r="DZ40" s="2"/>
      <c r="EA40" s="2"/>
      <c r="EB40" s="2"/>
      <c r="EC40" s="2"/>
      <c r="ED40" s="2"/>
      <c r="EE40" s="2">
        <v>15139126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59</v>
      </c>
      <c r="EM40" s="2" t="s">
        <v>60</v>
      </c>
      <c r="EN40" s="2"/>
      <c r="EO40" s="2" t="s">
        <v>6</v>
      </c>
      <c r="EP40" s="2"/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5"/>
        <v>0</v>
      </c>
      <c r="FS40" s="2">
        <v>0</v>
      </c>
      <c r="FT40" s="2" t="s">
        <v>21</v>
      </c>
      <c r="FU40" s="2" t="s">
        <v>22</v>
      </c>
      <c r="FV40" s="2" t="s">
        <v>22</v>
      </c>
      <c r="FW40" s="2" t="s">
        <v>23</v>
      </c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-112006704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6"/>
        <v>0</v>
      </c>
      <c r="GM40" s="2">
        <f t="shared" si="47"/>
        <v>0</v>
      </c>
      <c r="GN40" s="2">
        <f t="shared" si="48"/>
        <v>0</v>
      </c>
      <c r="GO40" s="2">
        <f t="shared" si="49"/>
        <v>0</v>
      </c>
      <c r="GP40" s="2">
        <f t="shared" si="50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51"/>
        <v>0</v>
      </c>
      <c r="GW40" s="2">
        <v>1</v>
      </c>
      <c r="GX40" s="2">
        <f t="shared" si="52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72</v>
      </c>
      <c r="E41" t="s">
        <v>61</v>
      </c>
      <c r="F41" t="s">
        <v>62</v>
      </c>
      <c r="G41" t="s">
        <v>63</v>
      </c>
      <c r="H41" t="s">
        <v>33</v>
      </c>
      <c r="I41">
        <f>I39*J41</f>
        <v>155.904</v>
      </c>
      <c r="J41">
        <v>105</v>
      </c>
      <c r="O41">
        <f t="shared" si="14"/>
        <v>0</v>
      </c>
      <c r="P41">
        <f t="shared" si="15"/>
        <v>0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16497268</v>
      </c>
      <c r="AB41">
        <f t="shared" si="25"/>
        <v>0</v>
      </c>
      <c r="AC41">
        <f t="shared" si="26"/>
        <v>0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6.57</v>
      </c>
      <c r="BA41">
        <v>1</v>
      </c>
      <c r="BB41">
        <v>1</v>
      </c>
      <c r="BC41">
        <v>6.57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34"/>
        <v>0</v>
      </c>
      <c r="CQ41">
        <f t="shared" si="35"/>
        <v>0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33</v>
      </c>
      <c r="DW41" t="s">
        <v>33</v>
      </c>
      <c r="DX41">
        <v>1</v>
      </c>
      <c r="EE41">
        <v>15139126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15001</v>
      </c>
      <c r="EL41" t="s">
        <v>59</v>
      </c>
      <c r="EM41" t="s">
        <v>60</v>
      </c>
      <c r="EO41" t="s">
        <v>6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T41" t="s">
        <v>21</v>
      </c>
      <c r="FU41" t="s">
        <v>22</v>
      </c>
      <c r="FX41">
        <v>94.5</v>
      </c>
      <c r="FY41">
        <v>46.75</v>
      </c>
      <c r="GA41" t="s">
        <v>6</v>
      </c>
      <c r="GD41">
        <v>0</v>
      </c>
      <c r="GF41">
        <v>-112006704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6"/>
        <v>0</v>
      </c>
      <c r="GM41">
        <f t="shared" si="47"/>
        <v>0</v>
      </c>
      <c r="GN41">
        <f t="shared" si="48"/>
        <v>0</v>
      </c>
      <c r="GO41">
        <f t="shared" si="49"/>
        <v>0</v>
      </c>
      <c r="GP41">
        <f t="shared" si="50"/>
        <v>0</v>
      </c>
      <c r="GR41">
        <v>0</v>
      </c>
      <c r="GS41">
        <v>0</v>
      </c>
      <c r="GT41">
        <v>0</v>
      </c>
      <c r="GU41" t="s">
        <v>6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55" x14ac:dyDescent="0.2">
      <c r="A42" s="2">
        <v>18</v>
      </c>
      <c r="B42" s="2">
        <v>1</v>
      </c>
      <c r="C42" s="2">
        <v>63</v>
      </c>
      <c r="D42" s="2"/>
      <c r="E42" s="2" t="s">
        <v>64</v>
      </c>
      <c r="F42" s="2" t="s">
        <v>65</v>
      </c>
      <c r="G42" s="2" t="s">
        <v>66</v>
      </c>
      <c r="H42" s="2" t="s">
        <v>33</v>
      </c>
      <c r="I42" s="2">
        <f>I38*J42</f>
        <v>155.904</v>
      </c>
      <c r="J42" s="2">
        <v>105</v>
      </c>
      <c r="K42" s="2"/>
      <c r="L42" s="2"/>
      <c r="M42" s="2"/>
      <c r="N42" s="2"/>
      <c r="O42" s="2">
        <f t="shared" si="14"/>
        <v>5359.98</v>
      </c>
      <c r="P42" s="2">
        <f t="shared" si="15"/>
        <v>5359.98</v>
      </c>
      <c r="Q42" s="2">
        <f t="shared" si="16"/>
        <v>0</v>
      </c>
      <c r="R42" s="2">
        <f t="shared" si="17"/>
        <v>0</v>
      </c>
      <c r="S42" s="2">
        <f t="shared" si="18"/>
        <v>0</v>
      </c>
      <c r="T42" s="2">
        <f t="shared" si="19"/>
        <v>0</v>
      </c>
      <c r="U42" s="2">
        <f t="shared" si="20"/>
        <v>0</v>
      </c>
      <c r="V42" s="2">
        <f t="shared" si="21"/>
        <v>0</v>
      </c>
      <c r="W42" s="2">
        <f t="shared" si="22"/>
        <v>0</v>
      </c>
      <c r="X42" s="2">
        <f t="shared" si="23"/>
        <v>0</v>
      </c>
      <c r="Y42" s="2">
        <f t="shared" si="24"/>
        <v>0</v>
      </c>
      <c r="Z42" s="2"/>
      <c r="AA42" s="2">
        <v>16496956</v>
      </c>
      <c r="AB42" s="2">
        <f t="shared" si="25"/>
        <v>34.380000000000003</v>
      </c>
      <c r="AC42" s="2">
        <f t="shared" si="26"/>
        <v>34.380000000000003</v>
      </c>
      <c r="AD42" s="2">
        <f t="shared" si="27"/>
        <v>0</v>
      </c>
      <c r="AE42" s="2">
        <f t="shared" si="28"/>
        <v>0</v>
      </c>
      <c r="AF42" s="2">
        <f t="shared" si="29"/>
        <v>0</v>
      </c>
      <c r="AG42" s="2">
        <f t="shared" si="30"/>
        <v>0</v>
      </c>
      <c r="AH42" s="2">
        <f t="shared" si="31"/>
        <v>0</v>
      </c>
      <c r="AI42" s="2">
        <f t="shared" si="32"/>
        <v>0</v>
      </c>
      <c r="AJ42" s="2">
        <f t="shared" si="33"/>
        <v>0</v>
      </c>
      <c r="AK42" s="2">
        <v>34.380000000000003</v>
      </c>
      <c r="AL42" s="2">
        <v>34.380000000000003</v>
      </c>
      <c r="AM42" s="2">
        <v>0</v>
      </c>
      <c r="AN42" s="2">
        <v>0</v>
      </c>
      <c r="AO42" s="2">
        <v>0</v>
      </c>
      <c r="AP42" s="2">
        <v>0</v>
      </c>
      <c r="AQ42" s="2">
        <v>0</v>
      </c>
      <c r="AR42" s="2">
        <v>0</v>
      </c>
      <c r="AS42" s="2">
        <v>0</v>
      </c>
      <c r="AT42" s="2">
        <v>80</v>
      </c>
      <c r="AU42" s="2">
        <v>37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3</v>
      </c>
      <c r="BI42" s="2">
        <v>1</v>
      </c>
      <c r="BJ42" s="2" t="s">
        <v>67</v>
      </c>
      <c r="BK42" s="2"/>
      <c r="BL42" s="2"/>
      <c r="BM42" s="2">
        <v>15001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105</v>
      </c>
      <c r="CA42" s="2">
        <v>55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6</v>
      </c>
      <c r="CO42" s="2">
        <v>0</v>
      </c>
      <c r="CP42" s="2">
        <f t="shared" si="34"/>
        <v>5359.98</v>
      </c>
      <c r="CQ42" s="2">
        <f t="shared" si="35"/>
        <v>34.380000000000003</v>
      </c>
      <c r="CR42" s="2">
        <f t="shared" si="36"/>
        <v>0</v>
      </c>
      <c r="CS42" s="2">
        <f t="shared" si="37"/>
        <v>0</v>
      </c>
      <c r="CT42" s="2">
        <f t="shared" si="38"/>
        <v>0</v>
      </c>
      <c r="CU42" s="2">
        <f t="shared" si="39"/>
        <v>0</v>
      </c>
      <c r="CV42" s="2">
        <f t="shared" si="40"/>
        <v>0</v>
      </c>
      <c r="CW42" s="2">
        <f t="shared" si="41"/>
        <v>0</v>
      </c>
      <c r="CX42" s="2">
        <f t="shared" si="42"/>
        <v>0</v>
      </c>
      <c r="CY42" s="2">
        <f t="shared" si="43"/>
        <v>0</v>
      </c>
      <c r="CZ42" s="2">
        <f t="shared" si="44"/>
        <v>0</v>
      </c>
      <c r="DA42" s="2"/>
      <c r="DB42" s="2"/>
      <c r="DC42" s="2" t="s">
        <v>6</v>
      </c>
      <c r="DD42" s="2" t="s">
        <v>6</v>
      </c>
      <c r="DE42" s="2" t="s">
        <v>6</v>
      </c>
      <c r="DF42" s="2" t="s">
        <v>6</v>
      </c>
      <c r="DG42" s="2" t="s">
        <v>6</v>
      </c>
      <c r="DH42" s="2" t="s">
        <v>6</v>
      </c>
      <c r="DI42" s="2" t="s">
        <v>6</v>
      </c>
      <c r="DJ42" s="2" t="s">
        <v>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33</v>
      </c>
      <c r="DW42" s="2" t="s">
        <v>33</v>
      </c>
      <c r="DX42" s="2">
        <v>1</v>
      </c>
      <c r="DY42" s="2"/>
      <c r="DZ42" s="2"/>
      <c r="EA42" s="2"/>
      <c r="EB42" s="2"/>
      <c r="EC42" s="2"/>
      <c r="ED42" s="2"/>
      <c r="EE42" s="2">
        <v>15139126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15001</v>
      </c>
      <c r="EL42" s="2" t="s">
        <v>59</v>
      </c>
      <c r="EM42" s="2" t="s">
        <v>60</v>
      </c>
      <c r="EN42" s="2"/>
      <c r="EO42" s="2" t="s">
        <v>6</v>
      </c>
      <c r="EP42" s="2"/>
      <c r="EQ42" s="2">
        <v>0</v>
      </c>
      <c r="ER42" s="2">
        <v>34.380000000000003</v>
      </c>
      <c r="ES42" s="2">
        <v>34.380000000000003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5"/>
        <v>0</v>
      </c>
      <c r="FS42" s="2">
        <v>0</v>
      </c>
      <c r="FT42" s="2" t="s">
        <v>21</v>
      </c>
      <c r="FU42" s="2" t="s">
        <v>22</v>
      </c>
      <c r="FV42" s="2" t="s">
        <v>22</v>
      </c>
      <c r="FW42" s="2" t="s">
        <v>23</v>
      </c>
      <c r="FX42" s="2">
        <v>94.5</v>
      </c>
      <c r="FY42" s="2">
        <v>46.75</v>
      </c>
      <c r="FZ42" s="2"/>
      <c r="GA42" s="2" t="s">
        <v>6</v>
      </c>
      <c r="GB42" s="2"/>
      <c r="GC42" s="2"/>
      <c r="GD42" s="2">
        <v>0</v>
      </c>
      <c r="GE42" s="2"/>
      <c r="GF42" s="2">
        <v>-956992290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6"/>
        <v>0</v>
      </c>
      <c r="GM42" s="2">
        <f t="shared" si="47"/>
        <v>5359.98</v>
      </c>
      <c r="GN42" s="2">
        <f t="shared" si="48"/>
        <v>5359.98</v>
      </c>
      <c r="GO42" s="2">
        <f t="shared" si="49"/>
        <v>0</v>
      </c>
      <c r="GP42" s="2">
        <f t="shared" si="50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51"/>
        <v>0</v>
      </c>
      <c r="GW42" s="2">
        <v>1</v>
      </c>
      <c r="GX42" s="2">
        <f t="shared" si="52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18</v>
      </c>
      <c r="B43">
        <v>1</v>
      </c>
      <c r="C43">
        <v>74</v>
      </c>
      <c r="E43" t="s">
        <v>64</v>
      </c>
      <c r="F43" t="s">
        <v>65</v>
      </c>
      <c r="G43" t="s">
        <v>66</v>
      </c>
      <c r="H43" t="s">
        <v>33</v>
      </c>
      <c r="I43">
        <f>I39*J43</f>
        <v>155.904</v>
      </c>
      <c r="J43">
        <v>105</v>
      </c>
      <c r="O43">
        <f t="shared" si="14"/>
        <v>35215.07</v>
      </c>
      <c r="P43">
        <f t="shared" si="15"/>
        <v>35215.07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16497268</v>
      </c>
      <c r="AB43">
        <f t="shared" si="25"/>
        <v>34.380000000000003</v>
      </c>
      <c r="AC43">
        <f t="shared" si="26"/>
        <v>34.380000000000003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34.380000000000003</v>
      </c>
      <c r="AL43">
        <v>34.380000000000003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95</v>
      </c>
      <c r="AU43">
        <v>47</v>
      </c>
      <c r="AV43">
        <v>1</v>
      </c>
      <c r="AW43">
        <v>1</v>
      </c>
      <c r="AZ43">
        <v>6.57</v>
      </c>
      <c r="BA43">
        <v>1</v>
      </c>
      <c r="BB43">
        <v>1</v>
      </c>
      <c r="BC43">
        <v>6.57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67</v>
      </c>
      <c r="BM43">
        <v>15001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105</v>
      </c>
      <c r="CA43">
        <v>55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4"/>
        <v>35215.07</v>
      </c>
      <c r="CQ43">
        <f t="shared" si="35"/>
        <v>225.87660000000002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33</v>
      </c>
      <c r="DW43" t="s">
        <v>33</v>
      </c>
      <c r="DX43">
        <v>1</v>
      </c>
      <c r="EE43">
        <v>15139126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15001</v>
      </c>
      <c r="EL43" t="s">
        <v>59</v>
      </c>
      <c r="EM43" t="s">
        <v>60</v>
      </c>
      <c r="EO43" t="s">
        <v>6</v>
      </c>
      <c r="EQ43">
        <v>0</v>
      </c>
      <c r="ER43">
        <v>34.380000000000003</v>
      </c>
      <c r="ES43">
        <v>34.380000000000003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T43" t="s">
        <v>21</v>
      </c>
      <c r="FU43" t="s">
        <v>22</v>
      </c>
      <c r="FX43">
        <v>94.5</v>
      </c>
      <c r="FY43">
        <v>46.75</v>
      </c>
      <c r="GA43" t="s">
        <v>6</v>
      </c>
      <c r="GD43">
        <v>0</v>
      </c>
      <c r="GF43">
        <v>-956992290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6"/>
        <v>0</v>
      </c>
      <c r="GM43">
        <f t="shared" si="47"/>
        <v>35215.07</v>
      </c>
      <c r="GN43">
        <f t="shared" si="48"/>
        <v>35215.07</v>
      </c>
      <c r="GO43">
        <f t="shared" si="49"/>
        <v>0</v>
      </c>
      <c r="GP43">
        <f t="shared" si="50"/>
        <v>0</v>
      </c>
      <c r="GR43">
        <v>0</v>
      </c>
      <c r="GS43">
        <v>0</v>
      </c>
      <c r="GT43">
        <v>0</v>
      </c>
      <c r="GU43" t="s">
        <v>6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65</v>
      </c>
      <c r="D44" s="2"/>
      <c r="E44" s="2" t="s">
        <v>68</v>
      </c>
      <c r="F44" s="2" t="s">
        <v>69</v>
      </c>
      <c r="G44" s="2" t="s">
        <v>70</v>
      </c>
      <c r="H44" s="2" t="s">
        <v>71</v>
      </c>
      <c r="I44" s="2">
        <f>I38*J44</f>
        <v>44.543999999999997</v>
      </c>
      <c r="J44" s="2">
        <v>30</v>
      </c>
      <c r="K44" s="2"/>
      <c r="L44" s="2"/>
      <c r="M44" s="2"/>
      <c r="N44" s="2"/>
      <c r="O44" s="2">
        <f t="shared" si="14"/>
        <v>0</v>
      </c>
      <c r="P44" s="2">
        <f t="shared" si="15"/>
        <v>0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16496956</v>
      </c>
      <c r="AB44" s="2">
        <f t="shared" si="25"/>
        <v>0</v>
      </c>
      <c r="AC44" s="2">
        <f t="shared" si="26"/>
        <v>0</v>
      </c>
      <c r="AD44" s="2">
        <f t="shared" si="27"/>
        <v>0</v>
      </c>
      <c r="AE44" s="2">
        <f t="shared" si="28"/>
        <v>0</v>
      </c>
      <c r="AF44" s="2">
        <f t="shared" si="29"/>
        <v>0</v>
      </c>
      <c r="AG44" s="2">
        <f t="shared" si="30"/>
        <v>0</v>
      </c>
      <c r="AH44" s="2">
        <f t="shared" si="31"/>
        <v>0</v>
      </c>
      <c r="AI44" s="2">
        <f t="shared" si="32"/>
        <v>0</v>
      </c>
      <c r="AJ44" s="2">
        <f t="shared" si="33"/>
        <v>0</v>
      </c>
      <c r="AK44" s="2">
        <v>0</v>
      </c>
      <c r="AL44" s="2">
        <v>0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80</v>
      </c>
      <c r="AU44" s="2">
        <v>37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6</v>
      </c>
      <c r="BK44" s="2"/>
      <c r="BL44" s="2"/>
      <c r="BM44" s="2">
        <v>15001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105</v>
      </c>
      <c r="CA44" s="2">
        <v>55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34"/>
        <v>0</v>
      </c>
      <c r="CQ44" s="2">
        <f t="shared" si="35"/>
        <v>0</v>
      </c>
      <c r="CR44" s="2">
        <f t="shared" si="36"/>
        <v>0</v>
      </c>
      <c r="CS44" s="2">
        <f t="shared" si="37"/>
        <v>0</v>
      </c>
      <c r="CT44" s="2">
        <f t="shared" si="38"/>
        <v>0</v>
      </c>
      <c r="CU44" s="2">
        <f t="shared" si="39"/>
        <v>0</v>
      </c>
      <c r="CV44" s="2">
        <f t="shared" si="40"/>
        <v>0</v>
      </c>
      <c r="CW44" s="2">
        <f t="shared" si="41"/>
        <v>0</v>
      </c>
      <c r="CX44" s="2">
        <f t="shared" si="42"/>
        <v>0</v>
      </c>
      <c r="CY44" s="2">
        <f t="shared" si="43"/>
        <v>0</v>
      </c>
      <c r="CZ44" s="2">
        <f t="shared" si="44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71</v>
      </c>
      <c r="DW44" s="2" t="s">
        <v>71</v>
      </c>
      <c r="DX44" s="2">
        <v>1</v>
      </c>
      <c r="DY44" s="2"/>
      <c r="DZ44" s="2"/>
      <c r="EA44" s="2"/>
      <c r="EB44" s="2"/>
      <c r="EC44" s="2"/>
      <c r="ED44" s="2"/>
      <c r="EE44" s="2">
        <v>15139126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15001</v>
      </c>
      <c r="EL44" s="2" t="s">
        <v>59</v>
      </c>
      <c r="EM44" s="2" t="s">
        <v>60</v>
      </c>
      <c r="EN44" s="2"/>
      <c r="EO44" s="2" t="s">
        <v>6</v>
      </c>
      <c r="EP44" s="2"/>
      <c r="EQ44" s="2">
        <v>0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5"/>
        <v>0</v>
      </c>
      <c r="FS44" s="2">
        <v>0</v>
      </c>
      <c r="FT44" s="2" t="s">
        <v>21</v>
      </c>
      <c r="FU44" s="2" t="s">
        <v>22</v>
      </c>
      <c r="FV44" s="2" t="s">
        <v>22</v>
      </c>
      <c r="FW44" s="2" t="s">
        <v>23</v>
      </c>
      <c r="FX44" s="2">
        <v>94.5</v>
      </c>
      <c r="FY44" s="2">
        <v>46.75</v>
      </c>
      <c r="FZ44" s="2"/>
      <c r="GA44" s="2" t="s">
        <v>6</v>
      </c>
      <c r="GB44" s="2"/>
      <c r="GC44" s="2"/>
      <c r="GD44" s="2">
        <v>0</v>
      </c>
      <c r="GE44" s="2"/>
      <c r="GF44" s="2">
        <v>-1516100259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6"/>
        <v>0</v>
      </c>
      <c r="GM44" s="2">
        <f t="shared" si="47"/>
        <v>0</v>
      </c>
      <c r="GN44" s="2">
        <f t="shared" si="48"/>
        <v>0</v>
      </c>
      <c r="GO44" s="2">
        <f t="shared" si="49"/>
        <v>0</v>
      </c>
      <c r="GP44" s="2">
        <f t="shared" si="50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51"/>
        <v>0</v>
      </c>
      <c r="GW44" s="2">
        <v>1</v>
      </c>
      <c r="GX44" s="2">
        <f t="shared" si="52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76</v>
      </c>
      <c r="E45" t="s">
        <v>68</v>
      </c>
      <c r="F45" t="s">
        <v>69</v>
      </c>
      <c r="G45" t="s">
        <v>70</v>
      </c>
      <c r="H45" t="s">
        <v>71</v>
      </c>
      <c r="I45">
        <f>I39*J45</f>
        <v>44.543999999999997</v>
      </c>
      <c r="J45">
        <v>30</v>
      </c>
      <c r="O45">
        <f t="shared" si="14"/>
        <v>0</v>
      </c>
      <c r="P45">
        <f t="shared" si="15"/>
        <v>0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16497268</v>
      </c>
      <c r="AB45">
        <f t="shared" si="25"/>
        <v>0</v>
      </c>
      <c r="AC45">
        <f t="shared" si="26"/>
        <v>0</v>
      </c>
      <c r="AD45">
        <f t="shared" si="27"/>
        <v>0</v>
      </c>
      <c r="AE45">
        <f t="shared" si="28"/>
        <v>0</v>
      </c>
      <c r="AF45">
        <f t="shared" si="29"/>
        <v>0</v>
      </c>
      <c r="AG45">
        <f t="shared" si="30"/>
        <v>0</v>
      </c>
      <c r="AH45">
        <f t="shared" si="31"/>
        <v>0</v>
      </c>
      <c r="AI45">
        <f t="shared" si="32"/>
        <v>0</v>
      </c>
      <c r="AJ45">
        <f t="shared" si="33"/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95</v>
      </c>
      <c r="AU45">
        <v>47</v>
      </c>
      <c r="AV45">
        <v>1</v>
      </c>
      <c r="AW45">
        <v>1</v>
      </c>
      <c r="AZ45">
        <v>6.57</v>
      </c>
      <c r="BA45">
        <v>1</v>
      </c>
      <c r="BB45">
        <v>1</v>
      </c>
      <c r="BC45">
        <v>6.57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6</v>
      </c>
      <c r="BM45">
        <v>15001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105</v>
      </c>
      <c r="CA45">
        <v>55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4"/>
        <v>0</v>
      </c>
      <c r="CQ45">
        <f t="shared" si="35"/>
        <v>0</v>
      </c>
      <c r="CR45">
        <f t="shared" si="36"/>
        <v>0</v>
      </c>
      <c r="CS45">
        <f t="shared" si="37"/>
        <v>0</v>
      </c>
      <c r="CT45">
        <f t="shared" si="38"/>
        <v>0</v>
      </c>
      <c r="CU45">
        <f t="shared" si="39"/>
        <v>0</v>
      </c>
      <c r="CV45">
        <f t="shared" si="40"/>
        <v>0</v>
      </c>
      <c r="CW45">
        <f t="shared" si="41"/>
        <v>0</v>
      </c>
      <c r="CX45">
        <f t="shared" si="42"/>
        <v>0</v>
      </c>
      <c r="CY45">
        <f t="shared" si="43"/>
        <v>0</v>
      </c>
      <c r="CZ45">
        <f t="shared" si="44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71</v>
      </c>
      <c r="DW45" t="s">
        <v>71</v>
      </c>
      <c r="DX45">
        <v>1</v>
      </c>
      <c r="EE45">
        <v>15139126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15001</v>
      </c>
      <c r="EL45" t="s">
        <v>59</v>
      </c>
      <c r="EM45" t="s">
        <v>60</v>
      </c>
      <c r="EO45" t="s">
        <v>6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5"/>
        <v>0</v>
      </c>
      <c r="FS45">
        <v>0</v>
      </c>
      <c r="FT45" t="s">
        <v>21</v>
      </c>
      <c r="FU45" t="s">
        <v>22</v>
      </c>
      <c r="FX45">
        <v>94.5</v>
      </c>
      <c r="FY45">
        <v>46.75</v>
      </c>
      <c r="GA45" t="s">
        <v>6</v>
      </c>
      <c r="GD45">
        <v>0</v>
      </c>
      <c r="GF45">
        <v>-1516100259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6"/>
        <v>0</v>
      </c>
      <c r="GM45">
        <f t="shared" si="47"/>
        <v>0</v>
      </c>
      <c r="GN45">
        <f t="shared" si="48"/>
        <v>0</v>
      </c>
      <c r="GO45">
        <f t="shared" si="49"/>
        <v>0</v>
      </c>
      <c r="GP45">
        <f t="shared" si="50"/>
        <v>0</v>
      </c>
      <c r="GR45">
        <v>0</v>
      </c>
      <c r="GS45">
        <v>0</v>
      </c>
      <c r="GT45">
        <v>0</v>
      </c>
      <c r="GU45" t="s">
        <v>6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55" x14ac:dyDescent="0.2">
      <c r="A46" s="2">
        <v>18</v>
      </c>
      <c r="B46" s="2">
        <v>1</v>
      </c>
      <c r="C46" s="2">
        <v>64</v>
      </c>
      <c r="D46" s="2"/>
      <c r="E46" s="2" t="s">
        <v>72</v>
      </c>
      <c r="F46" s="2" t="s">
        <v>73</v>
      </c>
      <c r="G46" s="2" t="s">
        <v>74</v>
      </c>
      <c r="H46" s="2" t="s">
        <v>71</v>
      </c>
      <c r="I46" s="2">
        <f>I38*J46</f>
        <v>44.543999999999997</v>
      </c>
      <c r="J46" s="2">
        <v>30</v>
      </c>
      <c r="K46" s="2"/>
      <c r="L46" s="2"/>
      <c r="M46" s="2"/>
      <c r="N46" s="2"/>
      <c r="O46" s="2">
        <f t="shared" si="14"/>
        <v>708.25</v>
      </c>
      <c r="P46" s="2">
        <f t="shared" si="15"/>
        <v>708.25</v>
      </c>
      <c r="Q46" s="2">
        <f t="shared" si="16"/>
        <v>0</v>
      </c>
      <c r="R46" s="2">
        <f t="shared" si="17"/>
        <v>0</v>
      </c>
      <c r="S46" s="2">
        <f t="shared" si="18"/>
        <v>0</v>
      </c>
      <c r="T46" s="2">
        <f t="shared" si="19"/>
        <v>0</v>
      </c>
      <c r="U46" s="2">
        <f t="shared" si="20"/>
        <v>0</v>
      </c>
      <c r="V46" s="2">
        <f t="shared" si="21"/>
        <v>0</v>
      </c>
      <c r="W46" s="2">
        <f t="shared" si="22"/>
        <v>0</v>
      </c>
      <c r="X46" s="2">
        <f t="shared" si="23"/>
        <v>0</v>
      </c>
      <c r="Y46" s="2">
        <f t="shared" si="24"/>
        <v>0</v>
      </c>
      <c r="Z46" s="2"/>
      <c r="AA46" s="2">
        <v>16496956</v>
      </c>
      <c r="AB46" s="2">
        <f t="shared" si="25"/>
        <v>15.9</v>
      </c>
      <c r="AC46" s="2">
        <f t="shared" si="26"/>
        <v>15.9</v>
      </c>
      <c r="AD46" s="2">
        <f t="shared" si="27"/>
        <v>0</v>
      </c>
      <c r="AE46" s="2">
        <f t="shared" si="28"/>
        <v>0</v>
      </c>
      <c r="AF46" s="2">
        <f t="shared" si="29"/>
        <v>0</v>
      </c>
      <c r="AG46" s="2">
        <f t="shared" si="30"/>
        <v>0</v>
      </c>
      <c r="AH46" s="2">
        <f t="shared" si="31"/>
        <v>0</v>
      </c>
      <c r="AI46" s="2">
        <f t="shared" si="32"/>
        <v>0</v>
      </c>
      <c r="AJ46" s="2">
        <f t="shared" si="33"/>
        <v>0</v>
      </c>
      <c r="AK46" s="2">
        <v>15.9</v>
      </c>
      <c r="AL46" s="2">
        <v>15.9</v>
      </c>
      <c r="AM46" s="2">
        <v>0</v>
      </c>
      <c r="AN46" s="2">
        <v>0</v>
      </c>
      <c r="AO46" s="2">
        <v>0</v>
      </c>
      <c r="AP46" s="2">
        <v>0</v>
      </c>
      <c r="AQ46" s="2">
        <v>0</v>
      </c>
      <c r="AR46" s="2">
        <v>0</v>
      </c>
      <c r="AS46" s="2">
        <v>0</v>
      </c>
      <c r="AT46" s="2">
        <v>80</v>
      </c>
      <c r="AU46" s="2">
        <v>37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3</v>
      </c>
      <c r="BI46" s="2">
        <v>1</v>
      </c>
      <c r="BJ46" s="2" t="s">
        <v>75</v>
      </c>
      <c r="BK46" s="2"/>
      <c r="BL46" s="2"/>
      <c r="BM46" s="2">
        <v>15001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105</v>
      </c>
      <c r="CA46" s="2">
        <v>55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6</v>
      </c>
      <c r="CO46" s="2">
        <v>0</v>
      </c>
      <c r="CP46" s="2">
        <f t="shared" si="34"/>
        <v>708.25</v>
      </c>
      <c r="CQ46" s="2">
        <f t="shared" si="35"/>
        <v>15.9</v>
      </c>
      <c r="CR46" s="2">
        <f t="shared" si="36"/>
        <v>0</v>
      </c>
      <c r="CS46" s="2">
        <f t="shared" si="37"/>
        <v>0</v>
      </c>
      <c r="CT46" s="2">
        <f t="shared" si="38"/>
        <v>0</v>
      </c>
      <c r="CU46" s="2">
        <f t="shared" si="39"/>
        <v>0</v>
      </c>
      <c r="CV46" s="2">
        <f t="shared" si="40"/>
        <v>0</v>
      </c>
      <c r="CW46" s="2">
        <f t="shared" si="41"/>
        <v>0</v>
      </c>
      <c r="CX46" s="2">
        <f t="shared" si="42"/>
        <v>0</v>
      </c>
      <c r="CY46" s="2">
        <f t="shared" si="43"/>
        <v>0</v>
      </c>
      <c r="CZ46" s="2">
        <f t="shared" si="44"/>
        <v>0</v>
      </c>
      <c r="DA46" s="2"/>
      <c r="DB46" s="2"/>
      <c r="DC46" s="2" t="s">
        <v>6</v>
      </c>
      <c r="DD46" s="2" t="s">
        <v>6</v>
      </c>
      <c r="DE46" s="2" t="s">
        <v>6</v>
      </c>
      <c r="DF46" s="2" t="s">
        <v>6</v>
      </c>
      <c r="DG46" s="2" t="s">
        <v>6</v>
      </c>
      <c r="DH46" s="2" t="s">
        <v>6</v>
      </c>
      <c r="DI46" s="2" t="s">
        <v>6</v>
      </c>
      <c r="DJ46" s="2" t="s">
        <v>6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1009</v>
      </c>
      <c r="DV46" s="2" t="s">
        <v>71</v>
      </c>
      <c r="DW46" s="2" t="s">
        <v>71</v>
      </c>
      <c r="DX46" s="2">
        <v>1</v>
      </c>
      <c r="DY46" s="2"/>
      <c r="DZ46" s="2"/>
      <c r="EA46" s="2"/>
      <c r="EB46" s="2"/>
      <c r="EC46" s="2"/>
      <c r="ED46" s="2"/>
      <c r="EE46" s="2">
        <v>15139126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15001</v>
      </c>
      <c r="EL46" s="2" t="s">
        <v>59</v>
      </c>
      <c r="EM46" s="2" t="s">
        <v>60</v>
      </c>
      <c r="EN46" s="2"/>
      <c r="EO46" s="2" t="s">
        <v>6</v>
      </c>
      <c r="EP46" s="2"/>
      <c r="EQ46" s="2">
        <v>0</v>
      </c>
      <c r="ER46" s="2">
        <v>15.9</v>
      </c>
      <c r="ES46" s="2">
        <v>15.9</v>
      </c>
      <c r="ET46" s="2">
        <v>0</v>
      </c>
      <c r="EU46" s="2">
        <v>0</v>
      </c>
      <c r="EV46" s="2">
        <v>0</v>
      </c>
      <c r="EW46" s="2">
        <v>0</v>
      </c>
      <c r="EX46" s="2">
        <v>0</v>
      </c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5"/>
        <v>0</v>
      </c>
      <c r="FS46" s="2">
        <v>0</v>
      </c>
      <c r="FT46" s="2" t="s">
        <v>21</v>
      </c>
      <c r="FU46" s="2" t="s">
        <v>22</v>
      </c>
      <c r="FV46" s="2" t="s">
        <v>22</v>
      </c>
      <c r="FW46" s="2" t="s">
        <v>23</v>
      </c>
      <c r="FX46" s="2">
        <v>94.5</v>
      </c>
      <c r="FY46" s="2">
        <v>46.75</v>
      </c>
      <c r="FZ46" s="2"/>
      <c r="GA46" s="2" t="s">
        <v>6</v>
      </c>
      <c r="GB46" s="2"/>
      <c r="GC46" s="2"/>
      <c r="GD46" s="2">
        <v>0</v>
      </c>
      <c r="GE46" s="2"/>
      <c r="GF46" s="2">
        <v>1104462431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6"/>
        <v>0</v>
      </c>
      <c r="GM46" s="2">
        <f t="shared" si="47"/>
        <v>708.25</v>
      </c>
      <c r="GN46" s="2">
        <f t="shared" si="48"/>
        <v>708.25</v>
      </c>
      <c r="GO46" s="2">
        <f t="shared" si="49"/>
        <v>0</v>
      </c>
      <c r="GP46" s="2">
        <f t="shared" si="50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51"/>
        <v>0</v>
      </c>
      <c r="GW46" s="2">
        <v>1</v>
      </c>
      <c r="GX46" s="2">
        <f t="shared" si="52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18</v>
      </c>
      <c r="B47">
        <v>1</v>
      </c>
      <c r="C47">
        <v>75</v>
      </c>
      <c r="E47" t="s">
        <v>72</v>
      </c>
      <c r="F47" t="s">
        <v>73</v>
      </c>
      <c r="G47" t="s">
        <v>74</v>
      </c>
      <c r="H47" t="s">
        <v>71</v>
      </c>
      <c r="I47">
        <f>I39*J47</f>
        <v>44.543999999999997</v>
      </c>
      <c r="J47">
        <v>30</v>
      </c>
      <c r="O47">
        <f t="shared" si="14"/>
        <v>4653.2</v>
      </c>
      <c r="P47">
        <f t="shared" si="15"/>
        <v>4653.2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16497268</v>
      </c>
      <c r="AB47">
        <f t="shared" si="25"/>
        <v>15.9</v>
      </c>
      <c r="AC47">
        <f t="shared" si="26"/>
        <v>15.9</v>
      </c>
      <c r="AD47">
        <f t="shared" si="27"/>
        <v>0</v>
      </c>
      <c r="AE47">
        <f t="shared" si="28"/>
        <v>0</v>
      </c>
      <c r="AF47">
        <f t="shared" si="29"/>
        <v>0</v>
      </c>
      <c r="AG47">
        <f t="shared" si="30"/>
        <v>0</v>
      </c>
      <c r="AH47">
        <f t="shared" si="31"/>
        <v>0</v>
      </c>
      <c r="AI47">
        <f t="shared" si="32"/>
        <v>0</v>
      </c>
      <c r="AJ47">
        <f t="shared" si="33"/>
        <v>0</v>
      </c>
      <c r="AK47">
        <v>15.9</v>
      </c>
      <c r="AL47">
        <v>15.9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95</v>
      </c>
      <c r="AU47">
        <v>47</v>
      </c>
      <c r="AV47">
        <v>1</v>
      </c>
      <c r="AW47">
        <v>1</v>
      </c>
      <c r="AZ47">
        <v>6.57</v>
      </c>
      <c r="BA47">
        <v>1</v>
      </c>
      <c r="BB47">
        <v>1</v>
      </c>
      <c r="BC47">
        <v>6.57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75</v>
      </c>
      <c r="BM47">
        <v>15001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105</v>
      </c>
      <c r="CA47">
        <v>55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4"/>
        <v>4653.2</v>
      </c>
      <c r="CQ47">
        <f t="shared" si="35"/>
        <v>104.46300000000001</v>
      </c>
      <c r="CR47">
        <f t="shared" si="36"/>
        <v>0</v>
      </c>
      <c r="CS47">
        <f t="shared" si="37"/>
        <v>0</v>
      </c>
      <c r="CT47">
        <f t="shared" si="38"/>
        <v>0</v>
      </c>
      <c r="CU47">
        <f t="shared" si="39"/>
        <v>0</v>
      </c>
      <c r="CV47">
        <f t="shared" si="40"/>
        <v>0</v>
      </c>
      <c r="CW47">
        <f t="shared" si="41"/>
        <v>0</v>
      </c>
      <c r="CX47">
        <f t="shared" si="42"/>
        <v>0</v>
      </c>
      <c r="CY47">
        <f t="shared" si="43"/>
        <v>0</v>
      </c>
      <c r="CZ47">
        <f t="shared" si="44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71</v>
      </c>
      <c r="DW47" t="s">
        <v>71</v>
      </c>
      <c r="DX47">
        <v>1</v>
      </c>
      <c r="EE47">
        <v>15139126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15001</v>
      </c>
      <c r="EL47" t="s">
        <v>59</v>
      </c>
      <c r="EM47" t="s">
        <v>60</v>
      </c>
      <c r="EO47" t="s">
        <v>6</v>
      </c>
      <c r="EQ47">
        <v>0</v>
      </c>
      <c r="ER47">
        <v>15.9</v>
      </c>
      <c r="ES47">
        <v>15.9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5"/>
        <v>0</v>
      </c>
      <c r="FS47">
        <v>0</v>
      </c>
      <c r="FT47" t="s">
        <v>21</v>
      </c>
      <c r="FU47" t="s">
        <v>22</v>
      </c>
      <c r="FX47">
        <v>94.5</v>
      </c>
      <c r="FY47">
        <v>46.75</v>
      </c>
      <c r="GA47" t="s">
        <v>6</v>
      </c>
      <c r="GD47">
        <v>0</v>
      </c>
      <c r="GF47">
        <v>1104462431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6"/>
        <v>0</v>
      </c>
      <c r="GM47">
        <f t="shared" si="47"/>
        <v>4653.2</v>
      </c>
      <c r="GN47">
        <f t="shared" si="48"/>
        <v>4653.2</v>
      </c>
      <c r="GO47">
        <f t="shared" si="49"/>
        <v>0</v>
      </c>
      <c r="GP47">
        <f t="shared" si="50"/>
        <v>0</v>
      </c>
      <c r="GR47">
        <v>0</v>
      </c>
      <c r="GS47">
        <v>0</v>
      </c>
      <c r="GT47">
        <v>0</v>
      </c>
      <c r="GU47" t="s">
        <v>6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66</v>
      </c>
      <c r="D48" s="2"/>
      <c r="E48" s="2" t="s">
        <v>76</v>
      </c>
      <c r="F48" s="2" t="s">
        <v>77</v>
      </c>
      <c r="G48" s="2" t="s">
        <v>78</v>
      </c>
      <c r="H48" s="2" t="s">
        <v>71</v>
      </c>
      <c r="I48" s="2">
        <f>I38*J48</f>
        <v>13.215000000000002</v>
      </c>
      <c r="J48" s="2">
        <v>8.9001885775862082</v>
      </c>
      <c r="K48" s="2"/>
      <c r="L48" s="2"/>
      <c r="M48" s="2"/>
      <c r="N48" s="2"/>
      <c r="O48" s="2">
        <f t="shared" si="14"/>
        <v>199.41</v>
      </c>
      <c r="P48" s="2">
        <f t="shared" si="15"/>
        <v>199.41</v>
      </c>
      <c r="Q48" s="2">
        <f t="shared" si="16"/>
        <v>0</v>
      </c>
      <c r="R48" s="2">
        <f t="shared" si="17"/>
        <v>0</v>
      </c>
      <c r="S48" s="2">
        <f t="shared" si="18"/>
        <v>0</v>
      </c>
      <c r="T48" s="2">
        <f t="shared" si="19"/>
        <v>0</v>
      </c>
      <c r="U48" s="2">
        <f t="shared" si="20"/>
        <v>0</v>
      </c>
      <c r="V48" s="2">
        <f t="shared" si="21"/>
        <v>0</v>
      </c>
      <c r="W48" s="2">
        <f t="shared" si="22"/>
        <v>0</v>
      </c>
      <c r="X48" s="2">
        <f t="shared" si="23"/>
        <v>0</v>
      </c>
      <c r="Y48" s="2">
        <f t="shared" si="24"/>
        <v>0</v>
      </c>
      <c r="Z48" s="2"/>
      <c r="AA48" s="2">
        <v>16496956</v>
      </c>
      <c r="AB48" s="2">
        <f t="shared" si="25"/>
        <v>15.09</v>
      </c>
      <c r="AC48" s="2">
        <f t="shared" si="26"/>
        <v>15.09</v>
      </c>
      <c r="AD48" s="2">
        <f t="shared" si="27"/>
        <v>0</v>
      </c>
      <c r="AE48" s="2">
        <f t="shared" si="28"/>
        <v>0</v>
      </c>
      <c r="AF48" s="2">
        <f t="shared" si="29"/>
        <v>0</v>
      </c>
      <c r="AG48" s="2">
        <f t="shared" si="30"/>
        <v>0</v>
      </c>
      <c r="AH48" s="2">
        <f t="shared" si="31"/>
        <v>0</v>
      </c>
      <c r="AI48" s="2">
        <f t="shared" si="32"/>
        <v>0</v>
      </c>
      <c r="AJ48" s="2">
        <f t="shared" si="33"/>
        <v>0</v>
      </c>
      <c r="AK48" s="2">
        <v>15.09</v>
      </c>
      <c r="AL48" s="2">
        <v>15.09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80</v>
      </c>
      <c r="AU48" s="2">
        <v>37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3</v>
      </c>
      <c r="BI48" s="2">
        <v>1</v>
      </c>
      <c r="BJ48" s="2" t="s">
        <v>79</v>
      </c>
      <c r="BK48" s="2"/>
      <c r="BL48" s="2"/>
      <c r="BM48" s="2">
        <v>15001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105</v>
      </c>
      <c r="CA48" s="2">
        <v>55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34"/>
        <v>199.41</v>
      </c>
      <c r="CQ48" s="2">
        <f t="shared" si="35"/>
        <v>15.09</v>
      </c>
      <c r="CR48" s="2">
        <f t="shared" si="36"/>
        <v>0</v>
      </c>
      <c r="CS48" s="2">
        <f t="shared" si="37"/>
        <v>0</v>
      </c>
      <c r="CT48" s="2">
        <f t="shared" si="38"/>
        <v>0</v>
      </c>
      <c r="CU48" s="2">
        <f t="shared" si="39"/>
        <v>0</v>
      </c>
      <c r="CV48" s="2">
        <f t="shared" si="40"/>
        <v>0</v>
      </c>
      <c r="CW48" s="2">
        <f t="shared" si="41"/>
        <v>0</v>
      </c>
      <c r="CX48" s="2">
        <f t="shared" si="42"/>
        <v>0</v>
      </c>
      <c r="CY48" s="2">
        <f t="shared" si="43"/>
        <v>0</v>
      </c>
      <c r="CZ48" s="2">
        <f t="shared" si="44"/>
        <v>0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1009</v>
      </c>
      <c r="DV48" s="2" t="s">
        <v>71</v>
      </c>
      <c r="DW48" s="2" t="s">
        <v>71</v>
      </c>
      <c r="DX48" s="2">
        <v>1</v>
      </c>
      <c r="DY48" s="2"/>
      <c r="DZ48" s="2"/>
      <c r="EA48" s="2"/>
      <c r="EB48" s="2"/>
      <c r="EC48" s="2"/>
      <c r="ED48" s="2"/>
      <c r="EE48" s="2">
        <v>15139126</v>
      </c>
      <c r="EF48" s="2">
        <v>2</v>
      </c>
      <c r="EG48" s="2" t="s">
        <v>18</v>
      </c>
      <c r="EH48" s="2">
        <v>0</v>
      </c>
      <c r="EI48" s="2" t="s">
        <v>6</v>
      </c>
      <c r="EJ48" s="2">
        <v>1</v>
      </c>
      <c r="EK48" s="2">
        <v>15001</v>
      </c>
      <c r="EL48" s="2" t="s">
        <v>59</v>
      </c>
      <c r="EM48" s="2" t="s">
        <v>60</v>
      </c>
      <c r="EN48" s="2"/>
      <c r="EO48" s="2" t="s">
        <v>6</v>
      </c>
      <c r="EP48" s="2"/>
      <c r="EQ48" s="2">
        <v>0</v>
      </c>
      <c r="ER48" s="2">
        <v>15.09</v>
      </c>
      <c r="ES48" s="2">
        <v>15.09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5"/>
        <v>0</v>
      </c>
      <c r="FS48" s="2">
        <v>0</v>
      </c>
      <c r="FT48" s="2" t="s">
        <v>21</v>
      </c>
      <c r="FU48" s="2" t="s">
        <v>22</v>
      </c>
      <c r="FV48" s="2" t="s">
        <v>22</v>
      </c>
      <c r="FW48" s="2" t="s">
        <v>23</v>
      </c>
      <c r="FX48" s="2">
        <v>94.5</v>
      </c>
      <c r="FY48" s="2">
        <v>46.75</v>
      </c>
      <c r="FZ48" s="2"/>
      <c r="GA48" s="2" t="s">
        <v>6</v>
      </c>
      <c r="GB48" s="2"/>
      <c r="GC48" s="2"/>
      <c r="GD48" s="2">
        <v>0</v>
      </c>
      <c r="GE48" s="2"/>
      <c r="GF48" s="2">
        <v>1453462043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6"/>
        <v>0</v>
      </c>
      <c r="GM48" s="2">
        <f t="shared" si="47"/>
        <v>199.41</v>
      </c>
      <c r="GN48" s="2">
        <f t="shared" si="48"/>
        <v>199.41</v>
      </c>
      <c r="GO48" s="2">
        <f t="shared" si="49"/>
        <v>0</v>
      </c>
      <c r="GP48" s="2">
        <f t="shared" si="50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51"/>
        <v>0</v>
      </c>
      <c r="GW48" s="2">
        <v>1</v>
      </c>
      <c r="GX48" s="2">
        <f t="shared" si="52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77</v>
      </c>
      <c r="E49" t="s">
        <v>76</v>
      </c>
      <c r="F49" t="s">
        <v>77</v>
      </c>
      <c r="G49" t="s">
        <v>78</v>
      </c>
      <c r="H49" t="s">
        <v>71</v>
      </c>
      <c r="I49">
        <f>I39*J49</f>
        <v>13.215000000000002</v>
      </c>
      <c r="J49">
        <v>8.9001885775862082</v>
      </c>
      <c r="O49">
        <f t="shared" si="14"/>
        <v>1310.1500000000001</v>
      </c>
      <c r="P49">
        <f t="shared" si="15"/>
        <v>1310.1500000000001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16497268</v>
      </c>
      <c r="AB49">
        <f t="shared" si="25"/>
        <v>15.09</v>
      </c>
      <c r="AC49">
        <f t="shared" si="26"/>
        <v>15.09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15.09</v>
      </c>
      <c r="AL49">
        <v>15.09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95</v>
      </c>
      <c r="AU49">
        <v>47</v>
      </c>
      <c r="AV49">
        <v>1</v>
      </c>
      <c r="AW49">
        <v>1</v>
      </c>
      <c r="AZ49">
        <v>6.57</v>
      </c>
      <c r="BA49">
        <v>1</v>
      </c>
      <c r="BB49">
        <v>1</v>
      </c>
      <c r="BC49">
        <v>6.57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79</v>
      </c>
      <c r="BM49">
        <v>15001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105</v>
      </c>
      <c r="CA49">
        <v>55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4"/>
        <v>1310.1500000000001</v>
      </c>
      <c r="CQ49">
        <f t="shared" si="35"/>
        <v>99.141300000000001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1009</v>
      </c>
      <c r="DV49" t="s">
        <v>71</v>
      </c>
      <c r="DW49" t="s">
        <v>71</v>
      </c>
      <c r="DX49">
        <v>1</v>
      </c>
      <c r="EE49">
        <v>15139126</v>
      </c>
      <c r="EF49">
        <v>2</v>
      </c>
      <c r="EG49" t="s">
        <v>18</v>
      </c>
      <c r="EH49">
        <v>0</v>
      </c>
      <c r="EI49" t="s">
        <v>6</v>
      </c>
      <c r="EJ49">
        <v>1</v>
      </c>
      <c r="EK49">
        <v>15001</v>
      </c>
      <c r="EL49" t="s">
        <v>59</v>
      </c>
      <c r="EM49" t="s">
        <v>60</v>
      </c>
      <c r="EO49" t="s">
        <v>6</v>
      </c>
      <c r="EQ49">
        <v>0</v>
      </c>
      <c r="ER49">
        <v>15.09</v>
      </c>
      <c r="ES49">
        <v>15.09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T49" t="s">
        <v>21</v>
      </c>
      <c r="FU49" t="s">
        <v>22</v>
      </c>
      <c r="FX49">
        <v>94.5</v>
      </c>
      <c r="FY49">
        <v>46.75</v>
      </c>
      <c r="GA49" t="s">
        <v>6</v>
      </c>
      <c r="GD49">
        <v>0</v>
      </c>
      <c r="GF49">
        <v>1453462043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6"/>
        <v>0</v>
      </c>
      <c r="GM49">
        <f t="shared" si="47"/>
        <v>1310.1500000000001</v>
      </c>
      <c r="GN49">
        <f t="shared" si="48"/>
        <v>1310.1500000000001</v>
      </c>
      <c r="GO49">
        <f t="shared" si="49"/>
        <v>0</v>
      </c>
      <c r="GP49">
        <f t="shared" si="50"/>
        <v>0</v>
      </c>
      <c r="GR49">
        <v>0</v>
      </c>
      <c r="GS49">
        <v>0</v>
      </c>
      <c r="GT49">
        <v>0</v>
      </c>
      <c r="GU49" t="s">
        <v>6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67</v>
      </c>
      <c r="D50" s="2"/>
      <c r="E50" s="2" t="s">
        <v>80</v>
      </c>
      <c r="F50" s="2" t="s">
        <v>81</v>
      </c>
      <c r="G50" s="2" t="s">
        <v>82</v>
      </c>
      <c r="H50" s="2" t="s">
        <v>83</v>
      </c>
      <c r="I50" s="2">
        <f>I38*J50</f>
        <v>1.3215000000000001E-2</v>
      </c>
      <c r="J50" s="2">
        <v>8.9001885775862079E-3</v>
      </c>
      <c r="K50" s="2"/>
      <c r="L50" s="2"/>
      <c r="M50" s="2"/>
      <c r="N50" s="2"/>
      <c r="O50" s="2">
        <f t="shared" si="14"/>
        <v>0</v>
      </c>
      <c r="P50" s="2">
        <f t="shared" si="15"/>
        <v>0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16496956</v>
      </c>
      <c r="AB50" s="2">
        <f t="shared" si="25"/>
        <v>0</v>
      </c>
      <c r="AC50" s="2">
        <f t="shared" si="26"/>
        <v>0</v>
      </c>
      <c r="AD50" s="2">
        <f t="shared" si="27"/>
        <v>0</v>
      </c>
      <c r="AE50" s="2">
        <f t="shared" si="28"/>
        <v>0</v>
      </c>
      <c r="AF50" s="2">
        <f t="shared" si="29"/>
        <v>0</v>
      </c>
      <c r="AG50" s="2">
        <f t="shared" si="30"/>
        <v>0</v>
      </c>
      <c r="AH50" s="2">
        <f t="shared" si="31"/>
        <v>0</v>
      </c>
      <c r="AI50" s="2">
        <f t="shared" si="32"/>
        <v>0</v>
      </c>
      <c r="AJ50" s="2">
        <f t="shared" si="33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80</v>
      </c>
      <c r="AU50" s="2">
        <v>37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6</v>
      </c>
      <c r="BK50" s="2"/>
      <c r="BL50" s="2"/>
      <c r="BM50" s="2">
        <v>15001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105</v>
      </c>
      <c r="CA50" s="2">
        <v>55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34"/>
        <v>0</v>
      </c>
      <c r="CQ50" s="2">
        <f t="shared" si="35"/>
        <v>0</v>
      </c>
      <c r="CR50" s="2">
        <f t="shared" si="36"/>
        <v>0</v>
      </c>
      <c r="CS50" s="2">
        <f t="shared" si="37"/>
        <v>0</v>
      </c>
      <c r="CT50" s="2">
        <f t="shared" si="38"/>
        <v>0</v>
      </c>
      <c r="CU50" s="2">
        <f t="shared" si="39"/>
        <v>0</v>
      </c>
      <c r="CV50" s="2">
        <f t="shared" si="40"/>
        <v>0</v>
      </c>
      <c r="CW50" s="2">
        <f t="shared" si="41"/>
        <v>0</v>
      </c>
      <c r="CX50" s="2">
        <f t="shared" si="42"/>
        <v>0</v>
      </c>
      <c r="CY50" s="2">
        <f t="shared" si="43"/>
        <v>0</v>
      </c>
      <c r="CZ50" s="2">
        <f t="shared" si="44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83</v>
      </c>
      <c r="DW50" s="2" t="s">
        <v>83</v>
      </c>
      <c r="DX50" s="2">
        <v>1000</v>
      </c>
      <c r="DY50" s="2"/>
      <c r="DZ50" s="2"/>
      <c r="EA50" s="2"/>
      <c r="EB50" s="2"/>
      <c r="EC50" s="2"/>
      <c r="ED50" s="2"/>
      <c r="EE50" s="2">
        <v>15139126</v>
      </c>
      <c r="EF50" s="2">
        <v>2</v>
      </c>
      <c r="EG50" s="2" t="s">
        <v>18</v>
      </c>
      <c r="EH50" s="2">
        <v>0</v>
      </c>
      <c r="EI50" s="2" t="s">
        <v>6</v>
      </c>
      <c r="EJ50" s="2">
        <v>1</v>
      </c>
      <c r="EK50" s="2">
        <v>15001</v>
      </c>
      <c r="EL50" s="2" t="s">
        <v>59</v>
      </c>
      <c r="EM50" s="2" t="s">
        <v>60</v>
      </c>
      <c r="EN50" s="2"/>
      <c r="EO50" s="2" t="s">
        <v>6</v>
      </c>
      <c r="EP50" s="2"/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5"/>
        <v>0</v>
      </c>
      <c r="FS50" s="2">
        <v>0</v>
      </c>
      <c r="FT50" s="2" t="s">
        <v>21</v>
      </c>
      <c r="FU50" s="2" t="s">
        <v>22</v>
      </c>
      <c r="FV50" s="2" t="s">
        <v>22</v>
      </c>
      <c r="FW50" s="2" t="s">
        <v>23</v>
      </c>
      <c r="FX50" s="2">
        <v>94.5</v>
      </c>
      <c r="FY50" s="2">
        <v>46.75</v>
      </c>
      <c r="FZ50" s="2"/>
      <c r="GA50" s="2" t="s">
        <v>6</v>
      </c>
      <c r="GB50" s="2"/>
      <c r="GC50" s="2"/>
      <c r="GD50" s="2">
        <v>0</v>
      </c>
      <c r="GE50" s="2"/>
      <c r="GF50" s="2">
        <v>-1212923053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6"/>
        <v>0</v>
      </c>
      <c r="GM50" s="2">
        <f t="shared" si="47"/>
        <v>0</v>
      </c>
      <c r="GN50" s="2">
        <f t="shared" si="48"/>
        <v>0</v>
      </c>
      <c r="GO50" s="2">
        <f t="shared" si="49"/>
        <v>0</v>
      </c>
      <c r="GP50" s="2">
        <f t="shared" si="50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51"/>
        <v>0</v>
      </c>
      <c r="GW50" s="2">
        <v>1</v>
      </c>
      <c r="GX50" s="2">
        <f t="shared" si="52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78</v>
      </c>
      <c r="E51" t="s">
        <v>80</v>
      </c>
      <c r="F51" t="s">
        <v>81</v>
      </c>
      <c r="G51" t="s">
        <v>82</v>
      </c>
      <c r="H51" t="s">
        <v>83</v>
      </c>
      <c r="I51">
        <f>I39*J51</f>
        <v>1.3215000000000001E-2</v>
      </c>
      <c r="J51">
        <v>8.9001885775862079E-3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16497268</v>
      </c>
      <c r="AB51">
        <f t="shared" si="25"/>
        <v>0</v>
      </c>
      <c r="AC51">
        <f t="shared" si="26"/>
        <v>0</v>
      </c>
      <c r="AD51">
        <f t="shared" si="27"/>
        <v>0</v>
      </c>
      <c r="AE51">
        <f t="shared" si="28"/>
        <v>0</v>
      </c>
      <c r="AF51">
        <f t="shared" si="29"/>
        <v>0</v>
      </c>
      <c r="AG51">
        <f t="shared" si="30"/>
        <v>0</v>
      </c>
      <c r="AH51">
        <f t="shared" si="31"/>
        <v>0</v>
      </c>
      <c r="AI51">
        <f t="shared" si="32"/>
        <v>0</v>
      </c>
      <c r="AJ51">
        <f t="shared" si="33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95</v>
      </c>
      <c r="AU51">
        <v>47</v>
      </c>
      <c r="AV51">
        <v>1</v>
      </c>
      <c r="AW51">
        <v>1</v>
      </c>
      <c r="AZ51">
        <v>6.57</v>
      </c>
      <c r="BA51">
        <v>1</v>
      </c>
      <c r="BB51">
        <v>1</v>
      </c>
      <c r="BC51">
        <v>6.57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6</v>
      </c>
      <c r="BM51">
        <v>15001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105</v>
      </c>
      <c r="CA51">
        <v>55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34"/>
        <v>0</v>
      </c>
      <c r="CQ51">
        <f t="shared" si="35"/>
        <v>0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83</v>
      </c>
      <c r="DW51" t="s">
        <v>83</v>
      </c>
      <c r="DX51">
        <v>1000</v>
      </c>
      <c r="EE51">
        <v>15139126</v>
      </c>
      <c r="EF51">
        <v>2</v>
      </c>
      <c r="EG51" t="s">
        <v>18</v>
      </c>
      <c r="EH51">
        <v>0</v>
      </c>
      <c r="EI51" t="s">
        <v>6</v>
      </c>
      <c r="EJ51">
        <v>1</v>
      </c>
      <c r="EK51">
        <v>15001</v>
      </c>
      <c r="EL51" t="s">
        <v>59</v>
      </c>
      <c r="EM51" t="s">
        <v>60</v>
      </c>
      <c r="EO51" t="s">
        <v>6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T51" t="s">
        <v>21</v>
      </c>
      <c r="FU51" t="s">
        <v>22</v>
      </c>
      <c r="FX51">
        <v>94.5</v>
      </c>
      <c r="FY51">
        <v>46.75</v>
      </c>
      <c r="GA51" t="s">
        <v>6</v>
      </c>
      <c r="GD51">
        <v>0</v>
      </c>
      <c r="GF51">
        <v>-1212923053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6"/>
        <v>0</v>
      </c>
      <c r="GM51">
        <f t="shared" si="47"/>
        <v>0</v>
      </c>
      <c r="GN51">
        <f t="shared" si="48"/>
        <v>0</v>
      </c>
      <c r="GO51">
        <f t="shared" si="49"/>
        <v>0</v>
      </c>
      <c r="GP51">
        <f t="shared" si="50"/>
        <v>0</v>
      </c>
      <c r="GR51">
        <v>0</v>
      </c>
      <c r="GS51">
        <v>0</v>
      </c>
      <c r="GT51">
        <v>0</v>
      </c>
      <c r="GU51" t="s">
        <v>6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/>
      <c r="D52" s="2"/>
      <c r="E52" s="2" t="s">
        <v>84</v>
      </c>
      <c r="F52" s="2" t="s">
        <v>85</v>
      </c>
      <c r="G52" s="2" t="s">
        <v>86</v>
      </c>
      <c r="H52" s="2" t="s">
        <v>87</v>
      </c>
      <c r="I52" s="2">
        <v>1.5</v>
      </c>
      <c r="J52" s="2">
        <v>0</v>
      </c>
      <c r="K52" s="2"/>
      <c r="L52" s="2"/>
      <c r="M52" s="2"/>
      <c r="N52" s="2"/>
      <c r="O52" s="2">
        <f>0</f>
        <v>0</v>
      </c>
      <c r="P52" s="2">
        <f>0</f>
        <v>0</v>
      </c>
      <c r="Q52" s="2">
        <f>0</f>
        <v>0</v>
      </c>
      <c r="R52" s="2">
        <f>0</f>
        <v>0</v>
      </c>
      <c r="S52" s="2">
        <f>0</f>
        <v>0</v>
      </c>
      <c r="T52" s="2">
        <f>0</f>
        <v>0</v>
      </c>
      <c r="U52" s="2">
        <f>0</f>
        <v>0</v>
      </c>
      <c r="V52" s="2">
        <f>0</f>
        <v>0</v>
      </c>
      <c r="W52" s="2">
        <f>0</f>
        <v>0</v>
      </c>
      <c r="X52" s="2">
        <f>0</f>
        <v>0</v>
      </c>
      <c r="Y52" s="2">
        <f>0</f>
        <v>0</v>
      </c>
      <c r="Z52" s="2"/>
      <c r="AA52" s="2">
        <v>16496956</v>
      </c>
      <c r="AB52" s="2">
        <f>ROUND((AK52),6)</f>
        <v>42.98</v>
      </c>
      <c r="AC52" s="2">
        <f>0</f>
        <v>0</v>
      </c>
      <c r="AD52" s="2">
        <f>0</f>
        <v>0</v>
      </c>
      <c r="AE52" s="2">
        <f>0</f>
        <v>0</v>
      </c>
      <c r="AF52" s="2">
        <f>0</f>
        <v>0</v>
      </c>
      <c r="AG52" s="2">
        <f>0</f>
        <v>0</v>
      </c>
      <c r="AH52" s="2">
        <f>0</f>
        <v>0</v>
      </c>
      <c r="AI52" s="2">
        <f>0</f>
        <v>0</v>
      </c>
      <c r="AJ52" s="2">
        <f>0</f>
        <v>0</v>
      </c>
      <c r="AK52" s="2">
        <v>42.98</v>
      </c>
      <c r="AL52" s="2">
        <v>0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88</v>
      </c>
      <c r="BK52" s="2"/>
      <c r="BL52" s="2"/>
      <c r="BM52" s="2">
        <v>700004</v>
      </c>
      <c r="BN52" s="2">
        <v>0</v>
      </c>
      <c r="BO52" s="2" t="s">
        <v>6</v>
      </c>
      <c r="BP52" s="2">
        <v>0</v>
      </c>
      <c r="BQ52" s="2">
        <v>19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0</v>
      </c>
      <c r="CA52" s="2">
        <v>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>AB52*AZ52</f>
        <v>42.98</v>
      </c>
      <c r="CQ52" s="2">
        <v>0</v>
      </c>
      <c r="CR52" s="2">
        <v>0</v>
      </c>
      <c r="CS52" s="2">
        <v>0</v>
      </c>
      <c r="CT52" s="2">
        <v>0</v>
      </c>
      <c r="CU52" s="2">
        <v>0</v>
      </c>
      <c r="CV52" s="2">
        <v>0</v>
      </c>
      <c r="CW52" s="2">
        <v>0</v>
      </c>
      <c r="CX52" s="2">
        <v>0</v>
      </c>
      <c r="CY52" s="2">
        <v>0</v>
      </c>
      <c r="CZ52" s="2"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87</v>
      </c>
      <c r="DW52" s="2" t="s">
        <v>87</v>
      </c>
      <c r="DX52" s="2">
        <v>1</v>
      </c>
      <c r="DY52" s="2"/>
      <c r="DZ52" s="2"/>
      <c r="EA52" s="2"/>
      <c r="EB52" s="2"/>
      <c r="EC52" s="2"/>
      <c r="ED52" s="2"/>
      <c r="EE52" s="2">
        <v>15139288</v>
      </c>
      <c r="EF52" s="2">
        <v>19</v>
      </c>
      <c r="EG52" s="2" t="s">
        <v>89</v>
      </c>
      <c r="EH52" s="2">
        <v>0</v>
      </c>
      <c r="EI52" s="2" t="s">
        <v>6</v>
      </c>
      <c r="EJ52" s="2">
        <v>1</v>
      </c>
      <c r="EK52" s="2">
        <v>700004</v>
      </c>
      <c r="EL52" s="2" t="s">
        <v>90</v>
      </c>
      <c r="EM52" s="2" t="s">
        <v>91</v>
      </c>
      <c r="EN52" s="2"/>
      <c r="EO52" s="2" t="s">
        <v>6</v>
      </c>
      <c r="EP52" s="2"/>
      <c r="EQ52" s="2">
        <v>0</v>
      </c>
      <c r="ER52" s="2">
        <v>0</v>
      </c>
      <c r="ES52" s="2">
        <v>0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5"/>
        <v>0</v>
      </c>
      <c r="FS52" s="2">
        <v>0</v>
      </c>
      <c r="FT52" s="2"/>
      <c r="FU52" s="2"/>
      <c r="FV52" s="2"/>
      <c r="FW52" s="2"/>
      <c r="FX52" s="2">
        <v>0</v>
      </c>
      <c r="FY52" s="2">
        <v>0</v>
      </c>
      <c r="FZ52" s="2"/>
      <c r="GA52" s="2" t="s">
        <v>6</v>
      </c>
      <c r="GB52" s="2"/>
      <c r="GC52" s="2"/>
      <c r="GD52" s="2">
        <v>0</v>
      </c>
      <c r="GE52" s="2"/>
      <c r="GF52" s="2">
        <v>811861299</v>
      </c>
      <c r="GG52" s="2">
        <v>2</v>
      </c>
      <c r="GH52" s="2">
        <v>1</v>
      </c>
      <c r="GI52" s="2">
        <v>-2</v>
      </c>
      <c r="GJ52" s="2">
        <v>2</v>
      </c>
      <c r="GK52" s="2">
        <f>ROUND(R52*(R12)/100,2)</f>
        <v>0</v>
      </c>
      <c r="GL52" s="2">
        <f t="shared" si="46"/>
        <v>0</v>
      </c>
      <c r="GM52" s="2">
        <f>ROUND(CP52*I52,2)</f>
        <v>64.47</v>
      </c>
      <c r="GN52" s="2">
        <f>IF(OR(BI52=0,BI52=1),ROUND(CP52*I52,2),0)</f>
        <v>64.47</v>
      </c>
      <c r="GO52" s="2">
        <f>IF(BI52=2,ROUND(CP52*I52,2),0)</f>
        <v>0</v>
      </c>
      <c r="GP52" s="2">
        <f>IF(BI52=4,ROUND(CP52*I52,2)+GX52,0)</f>
        <v>0</v>
      </c>
      <c r="GQ52" s="2"/>
      <c r="GR52" s="2">
        <v>0</v>
      </c>
      <c r="GS52" s="2">
        <v>3</v>
      </c>
      <c r="GT52" s="2"/>
      <c r="GU52" s="2" t="s">
        <v>6</v>
      </c>
      <c r="GV52" s="2">
        <f>0</f>
        <v>0</v>
      </c>
      <c r="GW52" s="2">
        <v>1</v>
      </c>
      <c r="GX52" s="2">
        <f t="shared" si="52"/>
        <v>0</v>
      </c>
      <c r="GY52" s="2">
        <v>0</v>
      </c>
      <c r="GZ52" s="2">
        <v>0</v>
      </c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E53" t="s">
        <v>84</v>
      </c>
      <c r="F53" t="s">
        <v>85</v>
      </c>
      <c r="G53" t="s">
        <v>86</v>
      </c>
      <c r="H53" t="s">
        <v>87</v>
      </c>
      <c r="I53">
        <v>1.5</v>
      </c>
      <c r="J53">
        <v>0</v>
      </c>
      <c r="O53">
        <f>0</f>
        <v>0</v>
      </c>
      <c r="P53">
        <f>0</f>
        <v>0</v>
      </c>
      <c r="Q53">
        <f>0</f>
        <v>0</v>
      </c>
      <c r="R53">
        <f>0</f>
        <v>0</v>
      </c>
      <c r="S53">
        <f>0</f>
        <v>0</v>
      </c>
      <c r="T53">
        <f>0</f>
        <v>0</v>
      </c>
      <c r="U53">
        <f>0</f>
        <v>0</v>
      </c>
      <c r="V53">
        <f>0</f>
        <v>0</v>
      </c>
      <c r="W53">
        <f>0</f>
        <v>0</v>
      </c>
      <c r="X53">
        <f>0</f>
        <v>0</v>
      </c>
      <c r="Y53">
        <f>0</f>
        <v>0</v>
      </c>
      <c r="AA53">
        <v>16497268</v>
      </c>
      <c r="AB53">
        <f>ROUND((AK53),6)</f>
        <v>42.98</v>
      </c>
      <c r="AC53">
        <f>0</f>
        <v>0</v>
      </c>
      <c r="AD53">
        <f>0</f>
        <v>0</v>
      </c>
      <c r="AE53">
        <f>0</f>
        <v>0</v>
      </c>
      <c r="AF53">
        <f>0</f>
        <v>0</v>
      </c>
      <c r="AG53">
        <f>0</f>
        <v>0</v>
      </c>
      <c r="AH53">
        <f>0</f>
        <v>0</v>
      </c>
      <c r="AI53">
        <f>0</f>
        <v>0</v>
      </c>
      <c r="AJ53">
        <f>0</f>
        <v>0</v>
      </c>
      <c r="AK53">
        <v>42.98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</v>
      </c>
      <c r="AW53">
        <v>1</v>
      </c>
      <c r="AZ53">
        <v>6.57</v>
      </c>
      <c r="BA53">
        <v>1</v>
      </c>
      <c r="BB53">
        <v>1</v>
      </c>
      <c r="BC53">
        <v>1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88</v>
      </c>
      <c r="BM53">
        <v>700004</v>
      </c>
      <c r="BN53">
        <v>0</v>
      </c>
      <c r="BO53" t="s">
        <v>6</v>
      </c>
      <c r="BP53">
        <v>0</v>
      </c>
      <c r="BQ53">
        <v>19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0</v>
      </c>
      <c r="CA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>AB53*AZ53</f>
        <v>282.37860000000001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87</v>
      </c>
      <c r="DW53" t="s">
        <v>87</v>
      </c>
      <c r="DX53">
        <v>1</v>
      </c>
      <c r="EE53">
        <v>15139288</v>
      </c>
      <c r="EF53">
        <v>19</v>
      </c>
      <c r="EG53" t="s">
        <v>89</v>
      </c>
      <c r="EH53">
        <v>0</v>
      </c>
      <c r="EI53" t="s">
        <v>6</v>
      </c>
      <c r="EJ53">
        <v>1</v>
      </c>
      <c r="EK53">
        <v>700004</v>
      </c>
      <c r="EL53" t="s">
        <v>90</v>
      </c>
      <c r="EM53" t="s">
        <v>91</v>
      </c>
      <c r="EO53" t="s">
        <v>6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FQ53">
        <v>0</v>
      </c>
      <c r="FR53">
        <f t="shared" si="45"/>
        <v>0</v>
      </c>
      <c r="FS53">
        <v>0</v>
      </c>
      <c r="FX53">
        <v>0</v>
      </c>
      <c r="FY53">
        <v>0</v>
      </c>
      <c r="GA53" t="s">
        <v>6</v>
      </c>
      <c r="GD53">
        <v>0</v>
      </c>
      <c r="GF53">
        <v>811861299</v>
      </c>
      <c r="GG53">
        <v>1</v>
      </c>
      <c r="GH53">
        <v>1</v>
      </c>
      <c r="GI53">
        <v>4</v>
      </c>
      <c r="GJ53">
        <v>2</v>
      </c>
      <c r="GK53">
        <f>ROUND(R53*(S12)/100,2)</f>
        <v>0</v>
      </c>
      <c r="GL53">
        <f t="shared" si="46"/>
        <v>0</v>
      </c>
      <c r="GM53">
        <f>ROUND(CP53*I53,2)</f>
        <v>423.57</v>
      </c>
      <c r="GN53">
        <f>IF(OR(BI53=0,BI53=1),ROUND(CP53*I53,2),0)</f>
        <v>423.57</v>
      </c>
      <c r="GO53">
        <f>IF(BI53=2,ROUND(CP53*I53,2),0)</f>
        <v>0</v>
      </c>
      <c r="GP53">
        <f>IF(BI53=4,ROUND(CP53*I53,2)+GX53,0)</f>
        <v>0</v>
      </c>
      <c r="GR53">
        <v>0</v>
      </c>
      <c r="GS53">
        <v>0</v>
      </c>
      <c r="GU53" t="s">
        <v>6</v>
      </c>
      <c r="GV53">
        <f>0</f>
        <v>0</v>
      </c>
      <c r="GW53">
        <v>1</v>
      </c>
      <c r="GX53">
        <f t="shared" si="52"/>
        <v>0</v>
      </c>
      <c r="GY53">
        <v>0</v>
      </c>
      <c r="GZ53"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/>
      <c r="D54" s="2"/>
      <c r="E54" s="2" t="s">
        <v>92</v>
      </c>
      <c r="F54" s="2" t="s">
        <v>93</v>
      </c>
      <c r="G54" s="2" t="s">
        <v>94</v>
      </c>
      <c r="H54" s="2" t="s">
        <v>87</v>
      </c>
      <c r="I54" s="2">
        <v>1.5</v>
      </c>
      <c r="J54" s="2">
        <v>0</v>
      </c>
      <c r="K54" s="2"/>
      <c r="L54" s="2"/>
      <c r="M54" s="2"/>
      <c r="N54" s="2"/>
      <c r="O54" s="2">
        <f>0</f>
        <v>0</v>
      </c>
      <c r="P54" s="2">
        <f>0</f>
        <v>0</v>
      </c>
      <c r="Q54" s="2">
        <f>0</f>
        <v>0</v>
      </c>
      <c r="R54" s="2">
        <f>0</f>
        <v>0</v>
      </c>
      <c r="S54" s="2">
        <f>0</f>
        <v>0</v>
      </c>
      <c r="T54" s="2">
        <f>0</f>
        <v>0</v>
      </c>
      <c r="U54" s="2">
        <f>0</f>
        <v>0</v>
      </c>
      <c r="V54" s="2">
        <f>0</f>
        <v>0</v>
      </c>
      <c r="W54" s="2">
        <f>0</f>
        <v>0</v>
      </c>
      <c r="X54" s="2">
        <f>0</f>
        <v>0</v>
      </c>
      <c r="Y54" s="2">
        <f>0</f>
        <v>0</v>
      </c>
      <c r="Z54" s="2"/>
      <c r="AA54" s="2">
        <v>16496956</v>
      </c>
      <c r="AB54" s="2">
        <f>ROUND((AK54),6)</f>
        <v>13.38</v>
      </c>
      <c r="AC54" s="2">
        <f>0</f>
        <v>0</v>
      </c>
      <c r="AD54" s="2">
        <f>0</f>
        <v>0</v>
      </c>
      <c r="AE54" s="2">
        <f>0</f>
        <v>0</v>
      </c>
      <c r="AF54" s="2">
        <f>0</f>
        <v>0</v>
      </c>
      <c r="AG54" s="2">
        <f>0</f>
        <v>0</v>
      </c>
      <c r="AH54" s="2">
        <f>0</f>
        <v>0</v>
      </c>
      <c r="AI54" s="2">
        <f>0</f>
        <v>0</v>
      </c>
      <c r="AJ54" s="2">
        <f>0</f>
        <v>0</v>
      </c>
      <c r="AK54" s="2">
        <v>13.38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95</v>
      </c>
      <c r="BK54" s="2"/>
      <c r="BL54" s="2"/>
      <c r="BM54" s="2">
        <v>700005</v>
      </c>
      <c r="BN54" s="2">
        <v>0</v>
      </c>
      <c r="BO54" s="2" t="s">
        <v>6</v>
      </c>
      <c r="BP54" s="2">
        <v>0</v>
      </c>
      <c r="BQ54" s="2">
        <v>10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0</v>
      </c>
      <c r="CA54" s="2">
        <v>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>AB54*AZ54</f>
        <v>13.38</v>
      </c>
      <c r="CQ54" s="2">
        <v>0</v>
      </c>
      <c r="CR54" s="2">
        <v>0</v>
      </c>
      <c r="CS54" s="2">
        <v>0</v>
      </c>
      <c r="CT54" s="2">
        <v>0</v>
      </c>
      <c r="CU54" s="2">
        <v>0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1013</v>
      </c>
      <c r="DV54" s="2" t="s">
        <v>87</v>
      </c>
      <c r="DW54" s="2" t="s">
        <v>87</v>
      </c>
      <c r="DX54" s="2">
        <v>1</v>
      </c>
      <c r="DY54" s="2"/>
      <c r="DZ54" s="2"/>
      <c r="EA54" s="2"/>
      <c r="EB54" s="2"/>
      <c r="EC54" s="2"/>
      <c r="ED54" s="2"/>
      <c r="EE54" s="2">
        <v>15139292</v>
      </c>
      <c r="EF54" s="2">
        <v>10</v>
      </c>
      <c r="EG54" s="2" t="s">
        <v>96</v>
      </c>
      <c r="EH54" s="2">
        <v>0</v>
      </c>
      <c r="EI54" s="2" t="s">
        <v>6</v>
      </c>
      <c r="EJ54" s="2">
        <v>1</v>
      </c>
      <c r="EK54" s="2">
        <v>700005</v>
      </c>
      <c r="EL54" s="2" t="s">
        <v>97</v>
      </c>
      <c r="EM54" s="2" t="s">
        <v>98</v>
      </c>
      <c r="EN54" s="2"/>
      <c r="EO54" s="2" t="s">
        <v>6</v>
      </c>
      <c r="EP54" s="2"/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5"/>
        <v>0</v>
      </c>
      <c r="FS54" s="2">
        <v>0</v>
      </c>
      <c r="FT54" s="2"/>
      <c r="FU54" s="2"/>
      <c r="FV54" s="2"/>
      <c r="FW54" s="2"/>
      <c r="FX54" s="2">
        <v>0</v>
      </c>
      <c r="FY54" s="2">
        <v>0</v>
      </c>
      <c r="FZ54" s="2"/>
      <c r="GA54" s="2" t="s">
        <v>6</v>
      </c>
      <c r="GB54" s="2"/>
      <c r="GC54" s="2"/>
      <c r="GD54" s="2">
        <v>0</v>
      </c>
      <c r="GE54" s="2"/>
      <c r="GF54" s="2">
        <v>57370386</v>
      </c>
      <c r="GG54" s="2">
        <v>2</v>
      </c>
      <c r="GH54" s="2">
        <v>1</v>
      </c>
      <c r="GI54" s="2">
        <v>-2</v>
      </c>
      <c r="GJ54" s="2">
        <v>2</v>
      </c>
      <c r="GK54" s="2">
        <f>ROUND(R54*(R12)/100,2)</f>
        <v>0</v>
      </c>
      <c r="GL54" s="2">
        <f t="shared" si="46"/>
        <v>0</v>
      </c>
      <c r="GM54" s="2">
        <f>ROUND(CP54*I54,2)</f>
        <v>20.07</v>
      </c>
      <c r="GN54" s="2">
        <f>IF(OR(BI54=0,BI54=1),ROUND(CP54*I54,2),0)</f>
        <v>20.07</v>
      </c>
      <c r="GO54" s="2">
        <f>IF(BI54=2,ROUND(CP54*I54,2),0)</f>
        <v>0</v>
      </c>
      <c r="GP54" s="2">
        <f>IF(BI54=4,ROUND(CP54*I54,2)+GX54,0)</f>
        <v>0</v>
      </c>
      <c r="GQ54" s="2"/>
      <c r="GR54" s="2">
        <v>0</v>
      </c>
      <c r="GS54" s="2">
        <v>3</v>
      </c>
      <c r="GT54" s="2"/>
      <c r="GU54" s="2" t="s">
        <v>6</v>
      </c>
      <c r="GV54" s="2">
        <f>0</f>
        <v>0</v>
      </c>
      <c r="GW54" s="2">
        <v>1</v>
      </c>
      <c r="GX54" s="2">
        <f t="shared" si="52"/>
        <v>0</v>
      </c>
      <c r="GY54" s="2">
        <v>0</v>
      </c>
      <c r="GZ54" s="2">
        <v>0</v>
      </c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E55" t="s">
        <v>92</v>
      </c>
      <c r="F55" t="s">
        <v>93</v>
      </c>
      <c r="G55" t="s">
        <v>94</v>
      </c>
      <c r="H55" t="s">
        <v>87</v>
      </c>
      <c r="I55">
        <v>1.5</v>
      </c>
      <c r="J55">
        <v>0</v>
      </c>
      <c r="O55">
        <f>0</f>
        <v>0</v>
      </c>
      <c r="P55">
        <f>0</f>
        <v>0</v>
      </c>
      <c r="Q55">
        <f>0</f>
        <v>0</v>
      </c>
      <c r="R55">
        <f>0</f>
        <v>0</v>
      </c>
      <c r="S55">
        <f>0</f>
        <v>0</v>
      </c>
      <c r="T55">
        <f>0</f>
        <v>0</v>
      </c>
      <c r="U55">
        <f>0</f>
        <v>0</v>
      </c>
      <c r="V55">
        <f>0</f>
        <v>0</v>
      </c>
      <c r="W55">
        <f>0</f>
        <v>0</v>
      </c>
      <c r="X55">
        <f>0</f>
        <v>0</v>
      </c>
      <c r="Y55">
        <f>0</f>
        <v>0</v>
      </c>
      <c r="AA55">
        <v>16497268</v>
      </c>
      <c r="AB55">
        <f>ROUND((AK55),6)</f>
        <v>13.38</v>
      </c>
      <c r="AC55">
        <f>0</f>
        <v>0</v>
      </c>
      <c r="AD55">
        <f>0</f>
        <v>0</v>
      </c>
      <c r="AE55">
        <f>0</f>
        <v>0</v>
      </c>
      <c r="AF55">
        <f>0</f>
        <v>0</v>
      </c>
      <c r="AG55">
        <f>0</f>
        <v>0</v>
      </c>
      <c r="AH55">
        <f>0</f>
        <v>0</v>
      </c>
      <c r="AI55">
        <f>0</f>
        <v>0</v>
      </c>
      <c r="AJ55">
        <f>0</f>
        <v>0</v>
      </c>
      <c r="AK55">
        <v>13.38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</v>
      </c>
      <c r="AW55">
        <v>1</v>
      </c>
      <c r="AZ55">
        <v>6.57</v>
      </c>
      <c r="BA55">
        <v>1</v>
      </c>
      <c r="BB55">
        <v>1</v>
      </c>
      <c r="BC55">
        <v>1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95</v>
      </c>
      <c r="BM55">
        <v>700005</v>
      </c>
      <c r="BN55">
        <v>0</v>
      </c>
      <c r="BO55" t="s">
        <v>6</v>
      </c>
      <c r="BP55">
        <v>0</v>
      </c>
      <c r="BQ55">
        <v>10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0</v>
      </c>
      <c r="CA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>AB55*AZ55</f>
        <v>87.906600000000012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1013</v>
      </c>
      <c r="DV55" t="s">
        <v>87</v>
      </c>
      <c r="DW55" t="s">
        <v>87</v>
      </c>
      <c r="DX55">
        <v>1</v>
      </c>
      <c r="EE55">
        <v>15139292</v>
      </c>
      <c r="EF55">
        <v>10</v>
      </c>
      <c r="EG55" t="s">
        <v>96</v>
      </c>
      <c r="EH55">
        <v>0</v>
      </c>
      <c r="EI55" t="s">
        <v>6</v>
      </c>
      <c r="EJ55">
        <v>1</v>
      </c>
      <c r="EK55">
        <v>700005</v>
      </c>
      <c r="EL55" t="s">
        <v>97</v>
      </c>
      <c r="EM55" t="s">
        <v>98</v>
      </c>
      <c r="EO55" t="s">
        <v>6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FQ55">
        <v>0</v>
      </c>
      <c r="FR55">
        <f t="shared" si="45"/>
        <v>0</v>
      </c>
      <c r="FS55">
        <v>0</v>
      </c>
      <c r="FX55">
        <v>0</v>
      </c>
      <c r="FY55">
        <v>0</v>
      </c>
      <c r="GA55" t="s">
        <v>6</v>
      </c>
      <c r="GD55">
        <v>0</v>
      </c>
      <c r="GF55">
        <v>57370386</v>
      </c>
      <c r="GG55">
        <v>1</v>
      </c>
      <c r="GH55">
        <v>1</v>
      </c>
      <c r="GI55">
        <v>4</v>
      </c>
      <c r="GJ55">
        <v>2</v>
      </c>
      <c r="GK55">
        <f>ROUND(R55*(S12)/100,2)</f>
        <v>0</v>
      </c>
      <c r="GL55">
        <f t="shared" si="46"/>
        <v>0</v>
      </c>
      <c r="GM55">
        <f>ROUND(CP55*I55,2)</f>
        <v>131.86000000000001</v>
      </c>
      <c r="GN55">
        <f>IF(OR(BI55=0,BI55=1),ROUND(CP55*I55,2),0)</f>
        <v>131.86000000000001</v>
      </c>
      <c r="GO55">
        <f>IF(BI55=2,ROUND(CP55*I55,2),0)</f>
        <v>0</v>
      </c>
      <c r="GP55">
        <f>IF(BI55=4,ROUND(CP55*I55,2)+GX55,0)</f>
        <v>0</v>
      </c>
      <c r="GR55">
        <v>0</v>
      </c>
      <c r="GS55">
        <v>0</v>
      </c>
      <c r="GU55" t="s">
        <v>6</v>
      </c>
      <c r="GV55">
        <f>0</f>
        <v>0</v>
      </c>
      <c r="GW55">
        <v>1</v>
      </c>
      <c r="GX55">
        <f t="shared" si="52"/>
        <v>0</v>
      </c>
      <c r="GY55">
        <v>0</v>
      </c>
      <c r="GZ55">
        <v>0</v>
      </c>
      <c r="HA55">
        <v>0</v>
      </c>
      <c r="HB55">
        <v>0</v>
      </c>
      <c r="IK55">
        <v>0</v>
      </c>
    </row>
    <row r="57" spans="1:255" x14ac:dyDescent="0.2">
      <c r="A57" s="3">
        <v>51</v>
      </c>
      <c r="B57" s="3">
        <f>B20</f>
        <v>1</v>
      </c>
      <c r="C57" s="3">
        <f>A20</f>
        <v>3</v>
      </c>
      <c r="D57" s="3">
        <f>ROW(A20)</f>
        <v>20</v>
      </c>
      <c r="E57" s="3"/>
      <c r="F57" s="3" t="str">
        <f>IF(F20&lt;&gt;"",F20,"")</f>
        <v>Новая локальная смета</v>
      </c>
      <c r="G57" s="3" t="str">
        <f>IF(G20&lt;&gt;"",G20,"")</f>
        <v>Новая локальная смета</v>
      </c>
      <c r="H57" s="3">
        <v>0</v>
      </c>
      <c r="I57" s="3"/>
      <c r="J57" s="3"/>
      <c r="K57" s="3"/>
      <c r="L57" s="3"/>
      <c r="M57" s="3"/>
      <c r="N57" s="3"/>
      <c r="O57" s="3">
        <f t="shared" ref="O57:T57" si="53">ROUND(AB57,2)</f>
        <v>508165.03</v>
      </c>
      <c r="P57" s="3">
        <f t="shared" si="53"/>
        <v>499848.97</v>
      </c>
      <c r="Q57" s="3">
        <f t="shared" si="53"/>
        <v>884.6</v>
      </c>
      <c r="R57" s="3">
        <f t="shared" si="53"/>
        <v>266.58</v>
      </c>
      <c r="S57" s="3">
        <f t="shared" si="53"/>
        <v>7431.46</v>
      </c>
      <c r="T57" s="3">
        <f t="shared" si="53"/>
        <v>0</v>
      </c>
      <c r="U57" s="3">
        <f>AH57</f>
        <v>862.14201600000001</v>
      </c>
      <c r="V57" s="3">
        <f>AI57</f>
        <v>20.715200000000003</v>
      </c>
      <c r="W57" s="3">
        <f>ROUND(AJ57,2)</f>
        <v>0</v>
      </c>
      <c r="X57" s="3">
        <f>ROUND(AK57,2)</f>
        <v>6467.1</v>
      </c>
      <c r="Y57" s="3">
        <f>ROUND(AL57,2)</f>
        <v>3340.58</v>
      </c>
      <c r="Z57" s="3"/>
      <c r="AA57" s="3"/>
      <c r="AB57" s="3">
        <f>ROUND(SUMIF(AA24:AA55,"=16496956",O24:O55),2)</f>
        <v>508165.03</v>
      </c>
      <c r="AC57" s="3">
        <f>ROUND(SUMIF(AA24:AA55,"=16496956",P24:P55),2)</f>
        <v>499848.97</v>
      </c>
      <c r="AD57" s="3">
        <f>ROUND(SUMIF(AA24:AA55,"=16496956",Q24:Q55),2)</f>
        <v>884.6</v>
      </c>
      <c r="AE57" s="3">
        <f>ROUND(SUMIF(AA24:AA55,"=16496956",R24:R55),2)</f>
        <v>266.58</v>
      </c>
      <c r="AF57" s="3">
        <f>ROUND(SUMIF(AA24:AA55,"=16496956",S24:S55),2)</f>
        <v>7431.46</v>
      </c>
      <c r="AG57" s="3">
        <f>ROUND(SUMIF(AA24:AA55,"=16496956",T24:T55),2)</f>
        <v>0</v>
      </c>
      <c r="AH57" s="3">
        <f>SUMIF(AA24:AA55,"=16496956",U24:U55)</f>
        <v>862.14201600000001</v>
      </c>
      <c r="AI57" s="3">
        <f>SUMIF(AA24:AA55,"=16496956",V24:V55)</f>
        <v>20.715200000000003</v>
      </c>
      <c r="AJ57" s="3">
        <f>ROUND(SUMIF(AA24:AA55,"=16496956",W24:W55),2)</f>
        <v>0</v>
      </c>
      <c r="AK57" s="3">
        <f>ROUND(SUMIF(AA24:AA55,"=16496956",X24:X55),2)</f>
        <v>6467.1</v>
      </c>
      <c r="AL57" s="3">
        <f>ROUND(SUMIF(AA24:AA55,"=16496956",Y24:Y55),2)</f>
        <v>3340.58</v>
      </c>
      <c r="AM57" s="3"/>
      <c r="AN57" s="3"/>
      <c r="AO57" s="3">
        <f t="shared" ref="AO57:BC57" si="54">ROUND(BX57,2)</f>
        <v>0</v>
      </c>
      <c r="AP57" s="3">
        <f t="shared" si="54"/>
        <v>0</v>
      </c>
      <c r="AQ57" s="3">
        <f t="shared" si="54"/>
        <v>0</v>
      </c>
      <c r="AR57" s="3">
        <f t="shared" si="54"/>
        <v>518057.25</v>
      </c>
      <c r="AS57" s="3">
        <f t="shared" si="54"/>
        <v>518057.25</v>
      </c>
      <c r="AT57" s="3">
        <f t="shared" si="54"/>
        <v>0</v>
      </c>
      <c r="AU57" s="3">
        <f t="shared" si="54"/>
        <v>0</v>
      </c>
      <c r="AV57" s="3">
        <f t="shared" si="54"/>
        <v>499848.97</v>
      </c>
      <c r="AW57" s="3">
        <f t="shared" si="54"/>
        <v>499848.97</v>
      </c>
      <c r="AX57" s="3">
        <f t="shared" si="54"/>
        <v>0</v>
      </c>
      <c r="AY57" s="3">
        <f t="shared" si="54"/>
        <v>499848.97</v>
      </c>
      <c r="AZ57" s="3">
        <f t="shared" si="54"/>
        <v>0</v>
      </c>
      <c r="BA57" s="3">
        <f t="shared" si="54"/>
        <v>0</v>
      </c>
      <c r="BB57" s="3">
        <f t="shared" si="54"/>
        <v>0</v>
      </c>
      <c r="BC57" s="3">
        <f t="shared" si="54"/>
        <v>0</v>
      </c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>
        <f>ROUND(SUMIF(AA24:AA55,"=16496956",FQ24:FQ55),2)</f>
        <v>0</v>
      </c>
      <c r="BY57" s="3">
        <f>ROUND(SUMIF(AA24:AA55,"=16496956",FR24:FR55),2)</f>
        <v>0</v>
      </c>
      <c r="BZ57" s="3">
        <f>ROUND(SUMIF(AA24:AA55,"=16496956",GL24:GL55),2)</f>
        <v>0</v>
      </c>
      <c r="CA57" s="3">
        <f>ROUND(SUMIF(AA24:AA55,"=16496956",GM24:GM55),2)</f>
        <v>518057.25</v>
      </c>
      <c r="CB57" s="3">
        <f>ROUND(SUMIF(AA24:AA55,"=16496956",GN24:GN55),2)</f>
        <v>518057.25</v>
      </c>
      <c r="CC57" s="3">
        <f>ROUND(SUMIF(AA24:AA55,"=16496956",GO24:GO55),2)</f>
        <v>0</v>
      </c>
      <c r="CD57" s="3">
        <f>ROUND(SUMIF(AA24:AA55,"=16496956",GP24:GP55),2)</f>
        <v>0</v>
      </c>
      <c r="CE57" s="3">
        <f>AC57-BX57</f>
        <v>499848.97</v>
      </c>
      <c r="CF57" s="3">
        <f>AC57-BY57</f>
        <v>499848.97</v>
      </c>
      <c r="CG57" s="3">
        <f>BX57-BZ57</f>
        <v>0</v>
      </c>
      <c r="CH57" s="3">
        <f>AC57-BX57-BY57+BZ57</f>
        <v>499848.97</v>
      </c>
      <c r="CI57" s="3">
        <f>BY57-BZ57</f>
        <v>0</v>
      </c>
      <c r="CJ57" s="3">
        <f>ROUND(SUMIF(AA24:AA55,"=16496956",GX24:GX55),2)</f>
        <v>0</v>
      </c>
      <c r="CK57" s="3">
        <f>ROUND(SUMIF(AA24:AA55,"=16496956",GY24:GY55),2)</f>
        <v>0</v>
      </c>
      <c r="CL57" s="3">
        <f>ROUND(SUMIF(AA24:AA55,"=16496956",GZ24:GZ55),2)</f>
        <v>0</v>
      </c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4">
        <f t="shared" ref="DG57:DL57" si="55">ROUND(DT57,2)</f>
        <v>897756.12</v>
      </c>
      <c r="DH57" s="4">
        <f t="shared" si="55"/>
        <v>843119.63</v>
      </c>
      <c r="DI57" s="4">
        <f t="shared" si="55"/>
        <v>5811.8</v>
      </c>
      <c r="DJ57" s="4">
        <f t="shared" si="55"/>
        <v>1751.44</v>
      </c>
      <c r="DK57" s="4">
        <f t="shared" si="55"/>
        <v>48824.69</v>
      </c>
      <c r="DL57" s="4">
        <f t="shared" si="55"/>
        <v>0</v>
      </c>
      <c r="DM57" s="4">
        <f>DZ57</f>
        <v>862.14201600000001</v>
      </c>
      <c r="DN57" s="4">
        <f>EA57</f>
        <v>20.715200000000003</v>
      </c>
      <c r="DO57" s="4">
        <f>ROUND(EB57,2)</f>
        <v>0</v>
      </c>
      <c r="DP57" s="4">
        <f>ROUND(EC57,2)</f>
        <v>50154.19</v>
      </c>
      <c r="DQ57" s="4">
        <f>ROUND(ED57,2)</f>
        <v>27586.2</v>
      </c>
      <c r="DR57" s="4"/>
      <c r="DS57" s="4"/>
      <c r="DT57" s="4">
        <f>ROUND(SUMIF(AA24:AA55,"=16497268",O24:O55),2)</f>
        <v>897756.12</v>
      </c>
      <c r="DU57" s="4">
        <f>ROUND(SUMIF(AA24:AA55,"=16497268",P24:P55),2)</f>
        <v>843119.63</v>
      </c>
      <c r="DV57" s="4">
        <f>ROUND(SUMIF(AA24:AA55,"=16497268",Q24:Q55),2)</f>
        <v>5811.8</v>
      </c>
      <c r="DW57" s="4">
        <f>ROUND(SUMIF(AA24:AA55,"=16497268",R24:R55),2)</f>
        <v>1751.44</v>
      </c>
      <c r="DX57" s="4">
        <f>ROUND(SUMIF(AA24:AA55,"=16497268",S24:S55),2)</f>
        <v>48824.69</v>
      </c>
      <c r="DY57" s="4">
        <f>ROUND(SUMIF(AA24:AA55,"=16497268",T24:T55),2)</f>
        <v>0</v>
      </c>
      <c r="DZ57" s="4">
        <f>SUMIF(AA24:AA55,"=16497268",U24:U55)</f>
        <v>862.14201600000001</v>
      </c>
      <c r="EA57" s="4">
        <f>SUMIF(AA24:AA55,"=16497268",V24:V55)</f>
        <v>20.715200000000003</v>
      </c>
      <c r="EB57" s="4">
        <f>ROUND(SUMIF(AA24:AA55,"=16497268",W24:W55),2)</f>
        <v>0</v>
      </c>
      <c r="EC57" s="4">
        <f>ROUND(SUMIF(AA24:AA55,"=16497268",X24:X55),2)</f>
        <v>50154.19</v>
      </c>
      <c r="ED57" s="4">
        <f>ROUND(SUMIF(AA24:AA55,"=16497268",Y24:Y55),2)</f>
        <v>27586.2</v>
      </c>
      <c r="EE57" s="4"/>
      <c r="EF57" s="4"/>
      <c r="EG57" s="4">
        <f t="shared" ref="EG57:EU57" si="56">ROUND(FP57,2)</f>
        <v>0</v>
      </c>
      <c r="EH57" s="4">
        <f t="shared" si="56"/>
        <v>0</v>
      </c>
      <c r="EI57" s="4">
        <f t="shared" si="56"/>
        <v>0</v>
      </c>
      <c r="EJ57" s="4">
        <f t="shared" si="56"/>
        <v>976051.94</v>
      </c>
      <c r="EK57" s="4">
        <f t="shared" si="56"/>
        <v>976051.94</v>
      </c>
      <c r="EL57" s="4">
        <f t="shared" si="56"/>
        <v>0</v>
      </c>
      <c r="EM57" s="4">
        <f t="shared" si="56"/>
        <v>0</v>
      </c>
      <c r="EN57" s="4">
        <f t="shared" si="56"/>
        <v>843119.63</v>
      </c>
      <c r="EO57" s="4">
        <f t="shared" si="56"/>
        <v>843119.63</v>
      </c>
      <c r="EP57" s="4">
        <f t="shared" si="56"/>
        <v>0</v>
      </c>
      <c r="EQ57" s="4">
        <f t="shared" si="56"/>
        <v>843119.63</v>
      </c>
      <c r="ER57" s="4">
        <f t="shared" si="56"/>
        <v>0</v>
      </c>
      <c r="ES57" s="4">
        <f t="shared" si="56"/>
        <v>0</v>
      </c>
      <c r="ET57" s="4">
        <f t="shared" si="56"/>
        <v>0</v>
      </c>
      <c r="EU57" s="4">
        <f t="shared" si="56"/>
        <v>0</v>
      </c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>
        <f>ROUND(SUMIF(AA24:AA55,"=16497268",FQ24:FQ55),2)</f>
        <v>0</v>
      </c>
      <c r="FQ57" s="4">
        <f>ROUND(SUMIF(AA24:AA55,"=16497268",FR24:FR55),2)</f>
        <v>0</v>
      </c>
      <c r="FR57" s="4">
        <f>ROUND(SUMIF(AA24:AA55,"=16497268",GL24:GL55),2)</f>
        <v>0</v>
      </c>
      <c r="FS57" s="4">
        <f>ROUND(SUMIF(AA24:AA55,"=16497268",GM24:GM55),2)</f>
        <v>976051.94</v>
      </c>
      <c r="FT57" s="4">
        <f>ROUND(SUMIF(AA24:AA55,"=16497268",GN24:GN55),2)</f>
        <v>976051.94</v>
      </c>
      <c r="FU57" s="4">
        <f>ROUND(SUMIF(AA24:AA55,"=16497268",GO24:GO55),2)</f>
        <v>0</v>
      </c>
      <c r="FV57" s="4">
        <f>ROUND(SUMIF(AA24:AA55,"=16497268",GP24:GP55),2)</f>
        <v>0</v>
      </c>
      <c r="FW57" s="4">
        <f>DU57-FP57</f>
        <v>843119.63</v>
      </c>
      <c r="FX57" s="4">
        <f>DU57-FQ57</f>
        <v>843119.63</v>
      </c>
      <c r="FY57" s="4">
        <f>FP57-FR57</f>
        <v>0</v>
      </c>
      <c r="FZ57" s="4">
        <f>DU57-FP57-FQ57+FR57</f>
        <v>843119.63</v>
      </c>
      <c r="GA57" s="4">
        <f>FQ57-FR57</f>
        <v>0</v>
      </c>
      <c r="GB57" s="4">
        <f>ROUND(SUMIF(AA24:AA55,"=16497268",GX24:GX55),2)</f>
        <v>0</v>
      </c>
      <c r="GC57" s="4">
        <f>ROUND(SUMIF(AA24:AA55,"=16497268",GY24:GY55),2)</f>
        <v>0</v>
      </c>
      <c r="GD57" s="4">
        <f>ROUND(SUMIF(AA24:AA55,"=16497268",GZ24:GZ55),2)</f>
        <v>0</v>
      </c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>
        <v>0</v>
      </c>
    </row>
    <row r="59" spans="1:255" x14ac:dyDescent="0.2">
      <c r="A59" s="5">
        <v>50</v>
      </c>
      <c r="B59" s="5">
        <v>0</v>
      </c>
      <c r="C59" s="5">
        <v>0</v>
      </c>
      <c r="D59" s="5">
        <v>1</v>
      </c>
      <c r="E59" s="5">
        <v>201</v>
      </c>
      <c r="F59" s="5">
        <f>ROUND(Source!O57,O59)</f>
        <v>508165.03</v>
      </c>
      <c r="G59" s="5" t="s">
        <v>99</v>
      </c>
      <c r="H59" s="5" t="s">
        <v>100</v>
      </c>
      <c r="I59" s="5"/>
      <c r="J59" s="5"/>
      <c r="K59" s="5">
        <v>201</v>
      </c>
      <c r="L59" s="5">
        <v>1</v>
      </c>
      <c r="M59" s="5">
        <v>3</v>
      </c>
      <c r="N59" s="5" t="s">
        <v>6</v>
      </c>
      <c r="O59" s="5">
        <v>2</v>
      </c>
      <c r="P59" s="5">
        <f>ROUND(Source!DG57,O59)</f>
        <v>897756.12</v>
      </c>
      <c r="Q59" s="5"/>
      <c r="R59" s="5"/>
      <c r="S59" s="5"/>
      <c r="T59" s="5"/>
      <c r="U59" s="5"/>
      <c r="V59" s="5"/>
      <c r="W59" s="5"/>
    </row>
    <row r="60" spans="1:255" x14ac:dyDescent="0.2">
      <c r="A60" s="5">
        <v>50</v>
      </c>
      <c r="B60" s="5">
        <v>0</v>
      </c>
      <c r="C60" s="5">
        <v>0</v>
      </c>
      <c r="D60" s="5">
        <v>1</v>
      </c>
      <c r="E60" s="5">
        <v>202</v>
      </c>
      <c r="F60" s="5">
        <f>ROUND(Source!P57,O60)</f>
        <v>499848.97</v>
      </c>
      <c r="G60" s="5" t="s">
        <v>101</v>
      </c>
      <c r="H60" s="5" t="s">
        <v>102</v>
      </c>
      <c r="I60" s="5"/>
      <c r="J60" s="5"/>
      <c r="K60" s="5">
        <v>202</v>
      </c>
      <c r="L60" s="5">
        <v>2</v>
      </c>
      <c r="M60" s="5">
        <v>3</v>
      </c>
      <c r="N60" s="5" t="s">
        <v>6</v>
      </c>
      <c r="O60" s="5">
        <v>2</v>
      </c>
      <c r="P60" s="5">
        <f>ROUND(Source!DH57,O60)</f>
        <v>843119.63</v>
      </c>
      <c r="Q60" s="5"/>
      <c r="R60" s="5"/>
      <c r="S60" s="5"/>
      <c r="T60" s="5"/>
      <c r="U60" s="5"/>
      <c r="V60" s="5"/>
      <c r="W60" s="5"/>
    </row>
    <row r="61" spans="1:255" x14ac:dyDescent="0.2">
      <c r="A61" s="5">
        <v>50</v>
      </c>
      <c r="B61" s="5">
        <v>0</v>
      </c>
      <c r="C61" s="5">
        <v>0</v>
      </c>
      <c r="D61" s="5">
        <v>1</v>
      </c>
      <c r="E61" s="5">
        <v>222</v>
      </c>
      <c r="F61" s="5">
        <f>ROUND(Source!AO57,O61)</f>
        <v>0</v>
      </c>
      <c r="G61" s="5" t="s">
        <v>103</v>
      </c>
      <c r="H61" s="5" t="s">
        <v>104</v>
      </c>
      <c r="I61" s="5"/>
      <c r="J61" s="5"/>
      <c r="K61" s="5">
        <v>222</v>
      </c>
      <c r="L61" s="5">
        <v>3</v>
      </c>
      <c r="M61" s="5">
        <v>3</v>
      </c>
      <c r="N61" s="5" t="s">
        <v>6</v>
      </c>
      <c r="O61" s="5">
        <v>2</v>
      </c>
      <c r="P61" s="5">
        <f>ROUND(Source!EG57,O61)</f>
        <v>0</v>
      </c>
      <c r="Q61" s="5"/>
      <c r="R61" s="5"/>
      <c r="S61" s="5"/>
      <c r="T61" s="5"/>
      <c r="U61" s="5"/>
      <c r="V61" s="5"/>
      <c r="W61" s="5"/>
    </row>
    <row r="62" spans="1:255" x14ac:dyDescent="0.2">
      <c r="A62" s="5">
        <v>50</v>
      </c>
      <c r="B62" s="5">
        <v>0</v>
      </c>
      <c r="C62" s="5">
        <v>0</v>
      </c>
      <c r="D62" s="5">
        <v>1</v>
      </c>
      <c r="E62" s="5">
        <v>225</v>
      </c>
      <c r="F62" s="5">
        <f>ROUND(Source!AV57,O62)</f>
        <v>499848.97</v>
      </c>
      <c r="G62" s="5" t="s">
        <v>105</v>
      </c>
      <c r="H62" s="5" t="s">
        <v>106</v>
      </c>
      <c r="I62" s="5"/>
      <c r="J62" s="5"/>
      <c r="K62" s="5">
        <v>225</v>
      </c>
      <c r="L62" s="5">
        <v>4</v>
      </c>
      <c r="M62" s="5">
        <v>3</v>
      </c>
      <c r="N62" s="5" t="s">
        <v>6</v>
      </c>
      <c r="O62" s="5">
        <v>2</v>
      </c>
      <c r="P62" s="5">
        <f>ROUND(Source!EN57,O62)</f>
        <v>843119.63</v>
      </c>
      <c r="Q62" s="5"/>
      <c r="R62" s="5"/>
      <c r="S62" s="5"/>
      <c r="T62" s="5"/>
      <c r="U62" s="5"/>
      <c r="V62" s="5"/>
      <c r="W62" s="5"/>
    </row>
    <row r="63" spans="1:255" x14ac:dyDescent="0.2">
      <c r="A63" s="5">
        <v>50</v>
      </c>
      <c r="B63" s="5">
        <v>0</v>
      </c>
      <c r="C63" s="5">
        <v>0</v>
      </c>
      <c r="D63" s="5">
        <v>1</v>
      </c>
      <c r="E63" s="5">
        <v>226</v>
      </c>
      <c r="F63" s="5">
        <f>ROUND(Source!AW57,O63)</f>
        <v>499848.97</v>
      </c>
      <c r="G63" s="5" t="s">
        <v>107</v>
      </c>
      <c r="H63" s="5" t="s">
        <v>108</v>
      </c>
      <c r="I63" s="5"/>
      <c r="J63" s="5"/>
      <c r="K63" s="5">
        <v>226</v>
      </c>
      <c r="L63" s="5">
        <v>5</v>
      </c>
      <c r="M63" s="5">
        <v>3</v>
      </c>
      <c r="N63" s="5" t="s">
        <v>6</v>
      </c>
      <c r="O63" s="5">
        <v>2</v>
      </c>
      <c r="P63" s="5">
        <f>ROUND(Source!EO57,O63)</f>
        <v>843119.63</v>
      </c>
      <c r="Q63" s="5"/>
      <c r="R63" s="5"/>
      <c r="S63" s="5"/>
      <c r="T63" s="5"/>
      <c r="U63" s="5"/>
      <c r="V63" s="5"/>
      <c r="W63" s="5"/>
    </row>
    <row r="64" spans="1:255" x14ac:dyDescent="0.2">
      <c r="A64" s="5">
        <v>50</v>
      </c>
      <c r="B64" s="5">
        <v>0</v>
      </c>
      <c r="C64" s="5">
        <v>0</v>
      </c>
      <c r="D64" s="5">
        <v>1</v>
      </c>
      <c r="E64" s="5">
        <v>227</v>
      </c>
      <c r="F64" s="5">
        <f>ROUND(Source!AX57,O64)</f>
        <v>0</v>
      </c>
      <c r="G64" s="5" t="s">
        <v>109</v>
      </c>
      <c r="H64" s="5" t="s">
        <v>110</v>
      </c>
      <c r="I64" s="5"/>
      <c r="J64" s="5"/>
      <c r="K64" s="5">
        <v>227</v>
      </c>
      <c r="L64" s="5">
        <v>6</v>
      </c>
      <c r="M64" s="5">
        <v>3</v>
      </c>
      <c r="N64" s="5" t="s">
        <v>6</v>
      </c>
      <c r="O64" s="5">
        <v>2</v>
      </c>
      <c r="P64" s="5">
        <f>ROUND(Source!EP57,O64)</f>
        <v>0</v>
      </c>
      <c r="Q64" s="5"/>
      <c r="R64" s="5"/>
      <c r="S64" s="5"/>
      <c r="T64" s="5"/>
      <c r="U64" s="5"/>
      <c r="V64" s="5"/>
      <c r="W64" s="5"/>
    </row>
    <row r="65" spans="1:23" x14ac:dyDescent="0.2">
      <c r="A65" s="5">
        <v>50</v>
      </c>
      <c r="B65" s="5">
        <v>0</v>
      </c>
      <c r="C65" s="5">
        <v>0</v>
      </c>
      <c r="D65" s="5">
        <v>1</v>
      </c>
      <c r="E65" s="5">
        <v>228</v>
      </c>
      <c r="F65" s="5">
        <f>ROUND(Source!AY57,O65)</f>
        <v>499848.97</v>
      </c>
      <c r="G65" s="5" t="s">
        <v>111</v>
      </c>
      <c r="H65" s="5" t="s">
        <v>112</v>
      </c>
      <c r="I65" s="5"/>
      <c r="J65" s="5"/>
      <c r="K65" s="5">
        <v>228</v>
      </c>
      <c r="L65" s="5">
        <v>7</v>
      </c>
      <c r="M65" s="5">
        <v>3</v>
      </c>
      <c r="N65" s="5" t="s">
        <v>6</v>
      </c>
      <c r="O65" s="5">
        <v>2</v>
      </c>
      <c r="P65" s="5">
        <f>ROUND(Source!EQ57,O65)</f>
        <v>843119.63</v>
      </c>
      <c r="Q65" s="5"/>
      <c r="R65" s="5"/>
      <c r="S65" s="5"/>
      <c r="T65" s="5"/>
      <c r="U65" s="5"/>
      <c r="V65" s="5"/>
      <c r="W65" s="5"/>
    </row>
    <row r="66" spans="1:23" x14ac:dyDescent="0.2">
      <c r="A66" s="5">
        <v>50</v>
      </c>
      <c r="B66" s="5">
        <v>0</v>
      </c>
      <c r="C66" s="5">
        <v>0</v>
      </c>
      <c r="D66" s="5">
        <v>1</v>
      </c>
      <c r="E66" s="5">
        <v>216</v>
      </c>
      <c r="F66" s="5">
        <f>ROUND(Source!AP57,O66)</f>
        <v>0</v>
      </c>
      <c r="G66" s="5" t="s">
        <v>113</v>
      </c>
      <c r="H66" s="5" t="s">
        <v>114</v>
      </c>
      <c r="I66" s="5"/>
      <c r="J66" s="5"/>
      <c r="K66" s="5">
        <v>216</v>
      </c>
      <c r="L66" s="5">
        <v>8</v>
      </c>
      <c r="M66" s="5">
        <v>3</v>
      </c>
      <c r="N66" s="5" t="s">
        <v>6</v>
      </c>
      <c r="O66" s="5">
        <v>2</v>
      </c>
      <c r="P66" s="5">
        <f>ROUND(Source!EH57,O66)</f>
        <v>0</v>
      </c>
      <c r="Q66" s="5"/>
      <c r="R66" s="5"/>
      <c r="S66" s="5"/>
      <c r="T66" s="5"/>
      <c r="U66" s="5"/>
      <c r="V66" s="5"/>
      <c r="W66" s="5"/>
    </row>
    <row r="67" spans="1:23" x14ac:dyDescent="0.2">
      <c r="A67" s="5">
        <v>50</v>
      </c>
      <c r="B67" s="5">
        <v>0</v>
      </c>
      <c r="C67" s="5">
        <v>0</v>
      </c>
      <c r="D67" s="5">
        <v>1</v>
      </c>
      <c r="E67" s="5">
        <v>223</v>
      </c>
      <c r="F67" s="5">
        <f>ROUND(Source!AQ57,O67)</f>
        <v>0</v>
      </c>
      <c r="G67" s="5" t="s">
        <v>115</v>
      </c>
      <c r="H67" s="5" t="s">
        <v>116</v>
      </c>
      <c r="I67" s="5"/>
      <c r="J67" s="5"/>
      <c r="K67" s="5">
        <v>223</v>
      </c>
      <c r="L67" s="5">
        <v>9</v>
      </c>
      <c r="M67" s="5">
        <v>3</v>
      </c>
      <c r="N67" s="5" t="s">
        <v>6</v>
      </c>
      <c r="O67" s="5">
        <v>2</v>
      </c>
      <c r="P67" s="5">
        <f>ROUND(Source!EI57,O67)</f>
        <v>0</v>
      </c>
      <c r="Q67" s="5"/>
      <c r="R67" s="5"/>
      <c r="S67" s="5"/>
      <c r="T67" s="5"/>
      <c r="U67" s="5"/>
      <c r="V67" s="5"/>
      <c r="W67" s="5"/>
    </row>
    <row r="68" spans="1:23" x14ac:dyDescent="0.2">
      <c r="A68" s="5">
        <v>50</v>
      </c>
      <c r="B68" s="5">
        <v>0</v>
      </c>
      <c r="C68" s="5">
        <v>0</v>
      </c>
      <c r="D68" s="5">
        <v>1</v>
      </c>
      <c r="E68" s="5">
        <v>229</v>
      </c>
      <c r="F68" s="5">
        <f>ROUND(Source!AZ57,O68)</f>
        <v>0</v>
      </c>
      <c r="G68" s="5" t="s">
        <v>117</v>
      </c>
      <c r="H68" s="5" t="s">
        <v>118</v>
      </c>
      <c r="I68" s="5"/>
      <c r="J68" s="5"/>
      <c r="K68" s="5">
        <v>229</v>
      </c>
      <c r="L68" s="5">
        <v>10</v>
      </c>
      <c r="M68" s="5">
        <v>3</v>
      </c>
      <c r="N68" s="5" t="s">
        <v>6</v>
      </c>
      <c r="O68" s="5">
        <v>2</v>
      </c>
      <c r="P68" s="5">
        <f>ROUND(Source!ER57,O68)</f>
        <v>0</v>
      </c>
      <c r="Q68" s="5"/>
      <c r="R68" s="5"/>
      <c r="S68" s="5"/>
      <c r="T68" s="5"/>
      <c r="U68" s="5"/>
      <c r="V68" s="5"/>
      <c r="W68" s="5"/>
    </row>
    <row r="69" spans="1:23" x14ac:dyDescent="0.2">
      <c r="A69" s="5">
        <v>50</v>
      </c>
      <c r="B69" s="5">
        <v>0</v>
      </c>
      <c r="C69" s="5">
        <v>0</v>
      </c>
      <c r="D69" s="5">
        <v>1</v>
      </c>
      <c r="E69" s="5">
        <v>203</v>
      </c>
      <c r="F69" s="5">
        <f>ROUND(Source!Q57,O69)</f>
        <v>884.6</v>
      </c>
      <c r="G69" s="5" t="s">
        <v>119</v>
      </c>
      <c r="H69" s="5" t="s">
        <v>120</v>
      </c>
      <c r="I69" s="5"/>
      <c r="J69" s="5"/>
      <c r="K69" s="5">
        <v>203</v>
      </c>
      <c r="L69" s="5">
        <v>11</v>
      </c>
      <c r="M69" s="5">
        <v>3</v>
      </c>
      <c r="N69" s="5" t="s">
        <v>6</v>
      </c>
      <c r="O69" s="5">
        <v>2</v>
      </c>
      <c r="P69" s="5">
        <f>ROUND(Source!DI57,O69)</f>
        <v>5811.8</v>
      </c>
      <c r="Q69" s="5"/>
      <c r="R69" s="5"/>
      <c r="S69" s="5"/>
      <c r="T69" s="5"/>
      <c r="U69" s="5"/>
      <c r="V69" s="5"/>
      <c r="W69" s="5"/>
    </row>
    <row r="70" spans="1:23" x14ac:dyDescent="0.2">
      <c r="A70" s="5">
        <v>50</v>
      </c>
      <c r="B70" s="5">
        <v>0</v>
      </c>
      <c r="C70" s="5">
        <v>0</v>
      </c>
      <c r="D70" s="5">
        <v>1</v>
      </c>
      <c r="E70" s="5">
        <v>231</v>
      </c>
      <c r="F70" s="5">
        <f>ROUND(Source!BB57,O70)</f>
        <v>0</v>
      </c>
      <c r="G70" s="5" t="s">
        <v>121</v>
      </c>
      <c r="H70" s="5" t="s">
        <v>122</v>
      </c>
      <c r="I70" s="5"/>
      <c r="J70" s="5"/>
      <c r="K70" s="5">
        <v>231</v>
      </c>
      <c r="L70" s="5">
        <v>12</v>
      </c>
      <c r="M70" s="5">
        <v>3</v>
      </c>
      <c r="N70" s="5" t="s">
        <v>6</v>
      </c>
      <c r="O70" s="5">
        <v>2</v>
      </c>
      <c r="P70" s="5">
        <f>ROUND(Source!ET57,O70)</f>
        <v>0</v>
      </c>
      <c r="Q70" s="5"/>
      <c r="R70" s="5"/>
      <c r="S70" s="5"/>
      <c r="T70" s="5"/>
      <c r="U70" s="5"/>
      <c r="V70" s="5"/>
      <c r="W70" s="5"/>
    </row>
    <row r="71" spans="1:23" x14ac:dyDescent="0.2">
      <c r="A71" s="5">
        <v>50</v>
      </c>
      <c r="B71" s="5">
        <v>0</v>
      </c>
      <c r="C71" s="5">
        <v>0</v>
      </c>
      <c r="D71" s="5">
        <v>1</v>
      </c>
      <c r="E71" s="5">
        <v>204</v>
      </c>
      <c r="F71" s="5">
        <f>ROUND(Source!R57,O71)</f>
        <v>266.58</v>
      </c>
      <c r="G71" s="5" t="s">
        <v>123</v>
      </c>
      <c r="H71" s="5" t="s">
        <v>124</v>
      </c>
      <c r="I71" s="5"/>
      <c r="J71" s="5"/>
      <c r="K71" s="5">
        <v>204</v>
      </c>
      <c r="L71" s="5">
        <v>13</v>
      </c>
      <c r="M71" s="5">
        <v>3</v>
      </c>
      <c r="N71" s="5" t="s">
        <v>6</v>
      </c>
      <c r="O71" s="5">
        <v>2</v>
      </c>
      <c r="P71" s="5">
        <f>ROUND(Source!DJ57,O71)</f>
        <v>1751.44</v>
      </c>
      <c r="Q71" s="5"/>
      <c r="R71" s="5"/>
      <c r="S71" s="5"/>
      <c r="T71" s="5"/>
      <c r="U71" s="5"/>
      <c r="V71" s="5"/>
      <c r="W71" s="5"/>
    </row>
    <row r="72" spans="1:23" x14ac:dyDescent="0.2">
      <c r="A72" s="5">
        <v>50</v>
      </c>
      <c r="B72" s="5">
        <v>0</v>
      </c>
      <c r="C72" s="5">
        <v>0</v>
      </c>
      <c r="D72" s="5">
        <v>1</v>
      </c>
      <c r="E72" s="5">
        <v>205</v>
      </c>
      <c r="F72" s="5">
        <f>ROUND(Source!S57,O72)</f>
        <v>7431.46</v>
      </c>
      <c r="G72" s="5" t="s">
        <v>125</v>
      </c>
      <c r="H72" s="5" t="s">
        <v>126</v>
      </c>
      <c r="I72" s="5"/>
      <c r="J72" s="5"/>
      <c r="K72" s="5">
        <v>205</v>
      </c>
      <c r="L72" s="5">
        <v>14</v>
      </c>
      <c r="M72" s="5">
        <v>3</v>
      </c>
      <c r="N72" s="5" t="s">
        <v>6</v>
      </c>
      <c r="O72" s="5">
        <v>2</v>
      </c>
      <c r="P72" s="5">
        <f>ROUND(Source!DK57,O72)</f>
        <v>48824.69</v>
      </c>
      <c r="Q72" s="5"/>
      <c r="R72" s="5"/>
      <c r="S72" s="5"/>
      <c r="T72" s="5"/>
      <c r="U72" s="5"/>
      <c r="V72" s="5"/>
      <c r="W72" s="5"/>
    </row>
    <row r="73" spans="1:23" x14ac:dyDescent="0.2">
      <c r="A73" s="5">
        <v>50</v>
      </c>
      <c r="B73" s="5">
        <v>0</v>
      </c>
      <c r="C73" s="5">
        <v>0</v>
      </c>
      <c r="D73" s="5">
        <v>1</v>
      </c>
      <c r="E73" s="5">
        <v>232</v>
      </c>
      <c r="F73" s="5">
        <f>ROUND(Source!BC57,O73)</f>
        <v>0</v>
      </c>
      <c r="G73" s="5" t="s">
        <v>127</v>
      </c>
      <c r="H73" s="5" t="s">
        <v>128</v>
      </c>
      <c r="I73" s="5"/>
      <c r="J73" s="5"/>
      <c r="K73" s="5">
        <v>232</v>
      </c>
      <c r="L73" s="5">
        <v>15</v>
      </c>
      <c r="M73" s="5">
        <v>3</v>
      </c>
      <c r="N73" s="5" t="s">
        <v>6</v>
      </c>
      <c r="O73" s="5">
        <v>2</v>
      </c>
      <c r="P73" s="5">
        <f>ROUND(Source!EU57,O73)</f>
        <v>0</v>
      </c>
      <c r="Q73" s="5"/>
      <c r="R73" s="5"/>
      <c r="S73" s="5"/>
      <c r="T73" s="5"/>
      <c r="U73" s="5"/>
      <c r="V73" s="5"/>
      <c r="W73" s="5"/>
    </row>
    <row r="74" spans="1:23" x14ac:dyDescent="0.2">
      <c r="A74" s="5">
        <v>50</v>
      </c>
      <c r="B74" s="5">
        <v>0</v>
      </c>
      <c r="C74" s="5">
        <v>0</v>
      </c>
      <c r="D74" s="5">
        <v>1</v>
      </c>
      <c r="E74" s="5">
        <v>214</v>
      </c>
      <c r="F74" s="5">
        <f>ROUND(Source!AS57,O74)</f>
        <v>518057.25</v>
      </c>
      <c r="G74" s="5" t="s">
        <v>129</v>
      </c>
      <c r="H74" s="5" t="s">
        <v>130</v>
      </c>
      <c r="I74" s="5"/>
      <c r="J74" s="5"/>
      <c r="K74" s="5">
        <v>214</v>
      </c>
      <c r="L74" s="5">
        <v>16</v>
      </c>
      <c r="M74" s="5">
        <v>3</v>
      </c>
      <c r="N74" s="5" t="s">
        <v>6</v>
      </c>
      <c r="O74" s="5">
        <v>2</v>
      </c>
      <c r="P74" s="5">
        <f>ROUND(Source!EK57,O74)</f>
        <v>976051.94</v>
      </c>
      <c r="Q74" s="5"/>
      <c r="R74" s="5"/>
      <c r="S74" s="5"/>
      <c r="T74" s="5"/>
      <c r="U74" s="5"/>
      <c r="V74" s="5"/>
      <c r="W74" s="5"/>
    </row>
    <row r="75" spans="1:23" x14ac:dyDescent="0.2">
      <c r="A75" s="5">
        <v>50</v>
      </c>
      <c r="B75" s="5">
        <v>0</v>
      </c>
      <c r="C75" s="5">
        <v>0</v>
      </c>
      <c r="D75" s="5">
        <v>1</v>
      </c>
      <c r="E75" s="5">
        <v>215</v>
      </c>
      <c r="F75" s="5">
        <f>ROUND(Source!AT57,O75)</f>
        <v>0</v>
      </c>
      <c r="G75" s="5" t="s">
        <v>131</v>
      </c>
      <c r="H75" s="5" t="s">
        <v>132</v>
      </c>
      <c r="I75" s="5"/>
      <c r="J75" s="5"/>
      <c r="K75" s="5">
        <v>215</v>
      </c>
      <c r="L75" s="5">
        <v>17</v>
      </c>
      <c r="M75" s="5">
        <v>3</v>
      </c>
      <c r="N75" s="5" t="s">
        <v>6</v>
      </c>
      <c r="O75" s="5">
        <v>2</v>
      </c>
      <c r="P75" s="5">
        <f>ROUND(Source!EL57,O75)</f>
        <v>0</v>
      </c>
      <c r="Q75" s="5"/>
      <c r="R75" s="5"/>
      <c r="S75" s="5"/>
      <c r="T75" s="5"/>
      <c r="U75" s="5"/>
      <c r="V75" s="5"/>
      <c r="W75" s="5"/>
    </row>
    <row r="76" spans="1:23" x14ac:dyDescent="0.2">
      <c r="A76" s="5">
        <v>50</v>
      </c>
      <c r="B76" s="5">
        <v>0</v>
      </c>
      <c r="C76" s="5">
        <v>0</v>
      </c>
      <c r="D76" s="5">
        <v>1</v>
      </c>
      <c r="E76" s="5">
        <v>217</v>
      </c>
      <c r="F76" s="5">
        <f>ROUND(Source!AU57,O76)</f>
        <v>0</v>
      </c>
      <c r="G76" s="5" t="s">
        <v>133</v>
      </c>
      <c r="H76" s="5" t="s">
        <v>134</v>
      </c>
      <c r="I76" s="5"/>
      <c r="J76" s="5"/>
      <c r="K76" s="5">
        <v>217</v>
      </c>
      <c r="L76" s="5">
        <v>18</v>
      </c>
      <c r="M76" s="5">
        <v>3</v>
      </c>
      <c r="N76" s="5" t="s">
        <v>6</v>
      </c>
      <c r="O76" s="5">
        <v>2</v>
      </c>
      <c r="P76" s="5">
        <f>ROUND(Source!EM57,O76)</f>
        <v>0</v>
      </c>
      <c r="Q76" s="5"/>
      <c r="R76" s="5"/>
      <c r="S76" s="5"/>
      <c r="T76" s="5"/>
      <c r="U76" s="5"/>
      <c r="V76" s="5"/>
      <c r="W76" s="5"/>
    </row>
    <row r="77" spans="1:23" x14ac:dyDescent="0.2">
      <c r="A77" s="5">
        <v>50</v>
      </c>
      <c r="B77" s="5">
        <v>0</v>
      </c>
      <c r="C77" s="5">
        <v>0</v>
      </c>
      <c r="D77" s="5">
        <v>1</v>
      </c>
      <c r="E77" s="5">
        <v>230</v>
      </c>
      <c r="F77" s="5">
        <f>ROUND(Source!BA57,O77)</f>
        <v>0</v>
      </c>
      <c r="G77" s="5" t="s">
        <v>135</v>
      </c>
      <c r="H77" s="5" t="s">
        <v>136</v>
      </c>
      <c r="I77" s="5"/>
      <c r="J77" s="5"/>
      <c r="K77" s="5">
        <v>230</v>
      </c>
      <c r="L77" s="5">
        <v>19</v>
      </c>
      <c r="M77" s="5">
        <v>3</v>
      </c>
      <c r="N77" s="5" t="s">
        <v>6</v>
      </c>
      <c r="O77" s="5">
        <v>2</v>
      </c>
      <c r="P77" s="5">
        <f>ROUND(Source!ES57,O77)</f>
        <v>0</v>
      </c>
      <c r="Q77" s="5"/>
      <c r="R77" s="5"/>
      <c r="S77" s="5"/>
      <c r="T77" s="5"/>
      <c r="U77" s="5"/>
      <c r="V77" s="5"/>
      <c r="W77" s="5"/>
    </row>
    <row r="78" spans="1:23" x14ac:dyDescent="0.2">
      <c r="A78" s="5">
        <v>50</v>
      </c>
      <c r="B78" s="5">
        <v>0</v>
      </c>
      <c r="C78" s="5">
        <v>0</v>
      </c>
      <c r="D78" s="5">
        <v>1</v>
      </c>
      <c r="E78" s="5">
        <v>206</v>
      </c>
      <c r="F78" s="5">
        <f>ROUND(Source!T57,O78)</f>
        <v>0</v>
      </c>
      <c r="G78" s="5" t="s">
        <v>137</v>
      </c>
      <c r="H78" s="5" t="s">
        <v>138</v>
      </c>
      <c r="I78" s="5"/>
      <c r="J78" s="5"/>
      <c r="K78" s="5">
        <v>206</v>
      </c>
      <c r="L78" s="5">
        <v>20</v>
      </c>
      <c r="M78" s="5">
        <v>3</v>
      </c>
      <c r="N78" s="5" t="s">
        <v>6</v>
      </c>
      <c r="O78" s="5">
        <v>2</v>
      </c>
      <c r="P78" s="5">
        <f>ROUND(Source!DL57,O78)</f>
        <v>0</v>
      </c>
      <c r="Q78" s="5"/>
      <c r="R78" s="5"/>
      <c r="S78" s="5"/>
      <c r="T78" s="5"/>
      <c r="U78" s="5"/>
      <c r="V78" s="5"/>
      <c r="W78" s="5"/>
    </row>
    <row r="79" spans="1:23" x14ac:dyDescent="0.2">
      <c r="A79" s="5">
        <v>50</v>
      </c>
      <c r="B79" s="5">
        <v>0</v>
      </c>
      <c r="C79" s="5">
        <v>0</v>
      </c>
      <c r="D79" s="5">
        <v>1</v>
      </c>
      <c r="E79" s="5">
        <v>207</v>
      </c>
      <c r="F79" s="5">
        <f>Source!U57</f>
        <v>862.14201600000001</v>
      </c>
      <c r="G79" s="5" t="s">
        <v>139</v>
      </c>
      <c r="H79" s="5" t="s">
        <v>140</v>
      </c>
      <c r="I79" s="5"/>
      <c r="J79" s="5"/>
      <c r="K79" s="5">
        <v>207</v>
      </c>
      <c r="L79" s="5">
        <v>21</v>
      </c>
      <c r="M79" s="5">
        <v>3</v>
      </c>
      <c r="N79" s="5" t="s">
        <v>6</v>
      </c>
      <c r="O79" s="5">
        <v>-1</v>
      </c>
      <c r="P79" s="5">
        <f>Source!DM57</f>
        <v>862.14201600000001</v>
      </c>
      <c r="Q79" s="5"/>
      <c r="R79" s="5"/>
      <c r="S79" s="5"/>
      <c r="T79" s="5"/>
      <c r="U79" s="5"/>
      <c r="V79" s="5"/>
      <c r="W79" s="5"/>
    </row>
    <row r="80" spans="1:23" x14ac:dyDescent="0.2">
      <c r="A80" s="5">
        <v>50</v>
      </c>
      <c r="B80" s="5">
        <v>0</v>
      </c>
      <c r="C80" s="5">
        <v>0</v>
      </c>
      <c r="D80" s="5">
        <v>1</v>
      </c>
      <c r="E80" s="5">
        <v>208</v>
      </c>
      <c r="F80" s="5">
        <f>Source!V57</f>
        <v>20.715200000000003</v>
      </c>
      <c r="G80" s="5" t="s">
        <v>141</v>
      </c>
      <c r="H80" s="5" t="s">
        <v>142</v>
      </c>
      <c r="I80" s="5"/>
      <c r="J80" s="5"/>
      <c r="K80" s="5">
        <v>208</v>
      </c>
      <c r="L80" s="5">
        <v>22</v>
      </c>
      <c r="M80" s="5">
        <v>3</v>
      </c>
      <c r="N80" s="5" t="s">
        <v>6</v>
      </c>
      <c r="O80" s="5">
        <v>-1</v>
      </c>
      <c r="P80" s="5">
        <f>Source!DN57</f>
        <v>20.715200000000003</v>
      </c>
      <c r="Q80" s="5"/>
      <c r="R80" s="5"/>
      <c r="S80" s="5"/>
      <c r="T80" s="5"/>
      <c r="U80" s="5"/>
      <c r="V80" s="5"/>
      <c r="W80" s="5"/>
    </row>
    <row r="81" spans="1:206" x14ac:dyDescent="0.2">
      <c r="A81" s="5">
        <v>50</v>
      </c>
      <c r="B81" s="5">
        <v>0</v>
      </c>
      <c r="C81" s="5">
        <v>0</v>
      </c>
      <c r="D81" s="5">
        <v>1</v>
      </c>
      <c r="E81" s="5">
        <v>209</v>
      </c>
      <c r="F81" s="5">
        <f>ROUND(Source!W57,O81)</f>
        <v>0</v>
      </c>
      <c r="G81" s="5" t="s">
        <v>143</v>
      </c>
      <c r="H81" s="5" t="s">
        <v>144</v>
      </c>
      <c r="I81" s="5"/>
      <c r="J81" s="5"/>
      <c r="K81" s="5">
        <v>209</v>
      </c>
      <c r="L81" s="5">
        <v>23</v>
      </c>
      <c r="M81" s="5">
        <v>3</v>
      </c>
      <c r="N81" s="5" t="s">
        <v>6</v>
      </c>
      <c r="O81" s="5">
        <v>2</v>
      </c>
      <c r="P81" s="5">
        <f>ROUND(Source!DO57,O81)</f>
        <v>0</v>
      </c>
      <c r="Q81" s="5"/>
      <c r="R81" s="5"/>
      <c r="S81" s="5"/>
      <c r="T81" s="5"/>
      <c r="U81" s="5"/>
      <c r="V81" s="5"/>
      <c r="W81" s="5"/>
    </row>
    <row r="82" spans="1:206" x14ac:dyDescent="0.2">
      <c r="A82" s="5">
        <v>50</v>
      </c>
      <c r="B82" s="5">
        <v>0</v>
      </c>
      <c r="C82" s="5">
        <v>0</v>
      </c>
      <c r="D82" s="5">
        <v>1</v>
      </c>
      <c r="E82" s="5">
        <v>210</v>
      </c>
      <c r="F82" s="5">
        <f>ROUND(Source!X57,O82)</f>
        <v>6467.1</v>
      </c>
      <c r="G82" s="5" t="s">
        <v>145</v>
      </c>
      <c r="H82" s="5" t="s">
        <v>146</v>
      </c>
      <c r="I82" s="5"/>
      <c r="J82" s="5"/>
      <c r="K82" s="5">
        <v>210</v>
      </c>
      <c r="L82" s="5">
        <v>24</v>
      </c>
      <c r="M82" s="5">
        <v>3</v>
      </c>
      <c r="N82" s="5" t="s">
        <v>6</v>
      </c>
      <c r="O82" s="5">
        <v>2</v>
      </c>
      <c r="P82" s="5">
        <f>ROUND(Source!DP57,O82)</f>
        <v>50154.19</v>
      </c>
      <c r="Q82" s="5"/>
      <c r="R82" s="5"/>
      <c r="S82" s="5"/>
      <c r="T82" s="5"/>
      <c r="U82" s="5"/>
      <c r="V82" s="5"/>
      <c r="W82" s="5"/>
    </row>
    <row r="83" spans="1:206" x14ac:dyDescent="0.2">
      <c r="A83" s="5">
        <v>50</v>
      </c>
      <c r="B83" s="5">
        <v>0</v>
      </c>
      <c r="C83" s="5">
        <v>0</v>
      </c>
      <c r="D83" s="5">
        <v>1</v>
      </c>
      <c r="E83" s="5">
        <v>211</v>
      </c>
      <c r="F83" s="5">
        <f>ROUND(Source!Y57,O83)</f>
        <v>3340.58</v>
      </c>
      <c r="G83" s="5" t="s">
        <v>147</v>
      </c>
      <c r="H83" s="5" t="s">
        <v>148</v>
      </c>
      <c r="I83" s="5"/>
      <c r="J83" s="5"/>
      <c r="K83" s="5">
        <v>211</v>
      </c>
      <c r="L83" s="5">
        <v>25</v>
      </c>
      <c r="M83" s="5">
        <v>3</v>
      </c>
      <c r="N83" s="5" t="s">
        <v>6</v>
      </c>
      <c r="O83" s="5">
        <v>2</v>
      </c>
      <c r="P83" s="5">
        <f>ROUND(Source!DQ57,O83)</f>
        <v>27586.2</v>
      </c>
      <c r="Q83" s="5"/>
      <c r="R83" s="5"/>
      <c r="S83" s="5"/>
      <c r="T83" s="5"/>
      <c r="U83" s="5"/>
      <c r="V83" s="5"/>
      <c r="W83" s="5"/>
    </row>
    <row r="84" spans="1:206" x14ac:dyDescent="0.2">
      <c r="A84" s="5">
        <v>50</v>
      </c>
      <c r="B84" s="5">
        <v>0</v>
      </c>
      <c r="C84" s="5">
        <v>0</v>
      </c>
      <c r="D84" s="5">
        <v>1</v>
      </c>
      <c r="E84" s="5">
        <v>0</v>
      </c>
      <c r="F84" s="5">
        <f>ROUND(Source!AR57,O84)</f>
        <v>518057.25</v>
      </c>
      <c r="G84" s="5" t="s">
        <v>149</v>
      </c>
      <c r="H84" s="5" t="s">
        <v>150</v>
      </c>
      <c r="I84" s="5"/>
      <c r="J84" s="5"/>
      <c r="K84" s="5">
        <v>224</v>
      </c>
      <c r="L84" s="5">
        <v>26</v>
      </c>
      <c r="M84" s="5">
        <v>3</v>
      </c>
      <c r="N84" s="5" t="s">
        <v>6</v>
      </c>
      <c r="O84" s="5">
        <v>2</v>
      </c>
      <c r="P84" s="5">
        <f>ROUND(Source!EJ57,O84)</f>
        <v>976051.94</v>
      </c>
      <c r="Q84" s="5"/>
      <c r="R84" s="5"/>
      <c r="S84" s="5"/>
      <c r="T84" s="5"/>
      <c r="U84" s="5"/>
      <c r="V84" s="5"/>
      <c r="W84" s="5"/>
    </row>
    <row r="85" spans="1:206" x14ac:dyDescent="0.2">
      <c r="A85" s="5">
        <v>50</v>
      </c>
      <c r="B85" s="5">
        <v>1</v>
      </c>
      <c r="C85" s="5">
        <v>0</v>
      </c>
      <c r="D85" s="5">
        <v>2</v>
      </c>
      <c r="E85" s="5">
        <v>0</v>
      </c>
      <c r="F85" s="5">
        <f>ROUND(F84,O85)</f>
        <v>518057.25</v>
      </c>
      <c r="G85" s="5" t="s">
        <v>151</v>
      </c>
      <c r="H85" s="5" t="s">
        <v>149</v>
      </c>
      <c r="I85" s="5"/>
      <c r="J85" s="5"/>
      <c r="K85" s="5">
        <v>212</v>
      </c>
      <c r="L85" s="5">
        <v>27</v>
      </c>
      <c r="M85" s="5">
        <v>0</v>
      </c>
      <c r="N85" s="5" t="s">
        <v>6</v>
      </c>
      <c r="O85" s="5">
        <v>2</v>
      </c>
      <c r="P85" s="5">
        <f>ROUND(P84,O85)</f>
        <v>976051.94</v>
      </c>
      <c r="Q85" s="5"/>
      <c r="R85" s="5"/>
      <c r="S85" s="5"/>
      <c r="T85" s="5"/>
      <c r="U85" s="5"/>
      <c r="V85" s="5"/>
      <c r="W85" s="5"/>
    </row>
    <row r="86" spans="1:206" x14ac:dyDescent="0.2">
      <c r="A86" s="5">
        <v>50</v>
      </c>
      <c r="B86" s="5">
        <v>1</v>
      </c>
      <c r="C86" s="5">
        <v>0</v>
      </c>
      <c r="D86" s="5">
        <v>2</v>
      </c>
      <c r="E86" s="5">
        <v>0</v>
      </c>
      <c r="F86" s="5">
        <f>ROUND(F85*0.18,O86)</f>
        <v>93250.31</v>
      </c>
      <c r="G86" s="5" t="s">
        <v>152</v>
      </c>
      <c r="H86" s="5" t="s">
        <v>153</v>
      </c>
      <c r="I86" s="5"/>
      <c r="J86" s="5"/>
      <c r="K86" s="5">
        <v>212</v>
      </c>
      <c r="L86" s="5">
        <v>28</v>
      </c>
      <c r="M86" s="5">
        <v>0</v>
      </c>
      <c r="N86" s="5" t="s">
        <v>6</v>
      </c>
      <c r="O86" s="5">
        <v>2</v>
      </c>
      <c r="P86" s="5">
        <f>ROUND(P85*0.18,O86)</f>
        <v>175689.35</v>
      </c>
      <c r="Q86" s="5"/>
      <c r="R86" s="5"/>
      <c r="S86" s="5"/>
      <c r="T86" s="5"/>
      <c r="U86" s="5"/>
      <c r="V86" s="5"/>
      <c r="W86" s="5"/>
    </row>
    <row r="87" spans="1:206" x14ac:dyDescent="0.2">
      <c r="A87" s="5">
        <v>50</v>
      </c>
      <c r="B87" s="5">
        <v>1</v>
      </c>
      <c r="C87" s="5">
        <v>0</v>
      </c>
      <c r="D87" s="5">
        <v>2</v>
      </c>
      <c r="E87" s="5">
        <v>224</v>
      </c>
      <c r="F87" s="5">
        <f>ROUND(F85+F86,O87)</f>
        <v>611307.56000000006</v>
      </c>
      <c r="G87" s="5" t="s">
        <v>154</v>
      </c>
      <c r="H87" s="5" t="s">
        <v>155</v>
      </c>
      <c r="I87" s="5"/>
      <c r="J87" s="5"/>
      <c r="K87" s="5">
        <v>212</v>
      </c>
      <c r="L87" s="5">
        <v>29</v>
      </c>
      <c r="M87" s="5">
        <v>0</v>
      </c>
      <c r="N87" s="5" t="s">
        <v>6</v>
      </c>
      <c r="O87" s="5">
        <v>2</v>
      </c>
      <c r="P87" s="5">
        <f>ROUND(P85+P86,O87)</f>
        <v>1151741.29</v>
      </c>
      <c r="Q87" s="5"/>
      <c r="R87" s="5"/>
      <c r="S87" s="5"/>
      <c r="T87" s="5"/>
      <c r="U87" s="5"/>
      <c r="V87" s="5"/>
      <c r="W87" s="5"/>
    </row>
    <row r="89" spans="1:206" x14ac:dyDescent="0.2">
      <c r="A89" s="3">
        <v>51</v>
      </c>
      <c r="B89" s="3">
        <f>B12</f>
        <v>150</v>
      </c>
      <c r="C89" s="3">
        <f>A12</f>
        <v>1</v>
      </c>
      <c r="D89" s="3">
        <f>ROW(A12)</f>
        <v>12</v>
      </c>
      <c r="E89" s="3"/>
      <c r="F89" s="3" t="str">
        <f>IF(F12&lt;&gt;"",F12,"")</f>
        <v>Новый объект</v>
      </c>
      <c r="G89" s="3" t="str">
        <f>IF(G12&lt;&gt;"",G12,"")</f>
        <v>Капитальный ремонт окооных проемов общежития ДИТИ НИЯУ МИФИ_цена поставщика</v>
      </c>
      <c r="H89" s="3">
        <v>0</v>
      </c>
      <c r="I89" s="3"/>
      <c r="J89" s="3"/>
      <c r="K89" s="3"/>
      <c r="L89" s="3"/>
      <c r="M89" s="3"/>
      <c r="N89" s="3"/>
      <c r="O89" s="3">
        <f t="shared" ref="O89:T89" si="57">ROUND(O57,2)</f>
        <v>508165.03</v>
      </c>
      <c r="P89" s="3">
        <f t="shared" si="57"/>
        <v>499848.97</v>
      </c>
      <c r="Q89" s="3">
        <f t="shared" si="57"/>
        <v>884.6</v>
      </c>
      <c r="R89" s="3">
        <f t="shared" si="57"/>
        <v>266.58</v>
      </c>
      <c r="S89" s="3">
        <f t="shared" si="57"/>
        <v>7431.46</v>
      </c>
      <c r="T89" s="3">
        <f t="shared" si="57"/>
        <v>0</v>
      </c>
      <c r="U89" s="3">
        <f>U57</f>
        <v>862.14201600000001</v>
      </c>
      <c r="V89" s="3">
        <f>V57</f>
        <v>20.715200000000003</v>
      </c>
      <c r="W89" s="3">
        <f>ROUND(W57,2)</f>
        <v>0</v>
      </c>
      <c r="X89" s="3">
        <f>ROUND(X57,2)</f>
        <v>6467.1</v>
      </c>
      <c r="Y89" s="3">
        <f>ROUND(Y57,2)</f>
        <v>3340.58</v>
      </c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>
        <f t="shared" ref="AO89:BC89" si="58">ROUND(AO57,2)</f>
        <v>0</v>
      </c>
      <c r="AP89" s="3">
        <f t="shared" si="58"/>
        <v>0</v>
      </c>
      <c r="AQ89" s="3">
        <f t="shared" si="58"/>
        <v>0</v>
      </c>
      <c r="AR89" s="3">
        <f t="shared" si="58"/>
        <v>518057.25</v>
      </c>
      <c r="AS89" s="3">
        <f t="shared" si="58"/>
        <v>518057.25</v>
      </c>
      <c r="AT89" s="3">
        <f t="shared" si="58"/>
        <v>0</v>
      </c>
      <c r="AU89" s="3">
        <f t="shared" si="58"/>
        <v>0</v>
      </c>
      <c r="AV89" s="3">
        <f t="shared" si="58"/>
        <v>499848.97</v>
      </c>
      <c r="AW89" s="3">
        <f t="shared" si="58"/>
        <v>499848.97</v>
      </c>
      <c r="AX89" s="3">
        <f t="shared" si="58"/>
        <v>0</v>
      </c>
      <c r="AY89" s="3">
        <f t="shared" si="58"/>
        <v>499848.97</v>
      </c>
      <c r="AZ89" s="3">
        <f t="shared" si="58"/>
        <v>0</v>
      </c>
      <c r="BA89" s="3">
        <f t="shared" si="58"/>
        <v>0</v>
      </c>
      <c r="BB89" s="3">
        <f t="shared" si="58"/>
        <v>0</v>
      </c>
      <c r="BC89" s="3">
        <f t="shared" si="58"/>
        <v>0</v>
      </c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4">
        <f t="shared" ref="DG89:DL89" si="59">ROUND(DG57,2)</f>
        <v>897756.12</v>
      </c>
      <c r="DH89" s="4">
        <f t="shared" si="59"/>
        <v>843119.63</v>
      </c>
      <c r="DI89" s="4">
        <f t="shared" si="59"/>
        <v>5811.8</v>
      </c>
      <c r="DJ89" s="4">
        <f t="shared" si="59"/>
        <v>1751.44</v>
      </c>
      <c r="DK89" s="4">
        <f t="shared" si="59"/>
        <v>48824.69</v>
      </c>
      <c r="DL89" s="4">
        <f t="shared" si="59"/>
        <v>0</v>
      </c>
      <c r="DM89" s="4">
        <f>DM57</f>
        <v>862.14201600000001</v>
      </c>
      <c r="DN89" s="4">
        <f>DN57</f>
        <v>20.715200000000003</v>
      </c>
      <c r="DO89" s="4">
        <f>ROUND(DO57,2)</f>
        <v>0</v>
      </c>
      <c r="DP89" s="4">
        <f>ROUND(DP57,2)</f>
        <v>50154.19</v>
      </c>
      <c r="DQ89" s="4">
        <f>ROUND(DQ57,2)</f>
        <v>27586.2</v>
      </c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>
        <f t="shared" ref="EG89:EU89" si="60">ROUND(EG57,2)</f>
        <v>0</v>
      </c>
      <c r="EH89" s="4">
        <f t="shared" si="60"/>
        <v>0</v>
      </c>
      <c r="EI89" s="4">
        <f t="shared" si="60"/>
        <v>0</v>
      </c>
      <c r="EJ89" s="4">
        <f t="shared" si="60"/>
        <v>976051.94</v>
      </c>
      <c r="EK89" s="4">
        <f t="shared" si="60"/>
        <v>976051.94</v>
      </c>
      <c r="EL89" s="4">
        <f t="shared" si="60"/>
        <v>0</v>
      </c>
      <c r="EM89" s="4">
        <f t="shared" si="60"/>
        <v>0</v>
      </c>
      <c r="EN89" s="4">
        <f t="shared" si="60"/>
        <v>843119.63</v>
      </c>
      <c r="EO89" s="4">
        <f t="shared" si="60"/>
        <v>843119.63</v>
      </c>
      <c r="EP89" s="4">
        <f t="shared" si="60"/>
        <v>0</v>
      </c>
      <c r="EQ89" s="4">
        <f t="shared" si="60"/>
        <v>843119.63</v>
      </c>
      <c r="ER89" s="4">
        <f t="shared" si="60"/>
        <v>0</v>
      </c>
      <c r="ES89" s="4">
        <f t="shared" si="60"/>
        <v>0</v>
      </c>
      <c r="ET89" s="4">
        <f t="shared" si="60"/>
        <v>0</v>
      </c>
      <c r="EU89" s="4">
        <f t="shared" si="60"/>
        <v>0</v>
      </c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>
        <v>0</v>
      </c>
    </row>
    <row r="91" spans="1:206" x14ac:dyDescent="0.2">
      <c r="A91" s="5">
        <v>50</v>
      </c>
      <c r="B91" s="5">
        <v>0</v>
      </c>
      <c r="C91" s="5">
        <v>0</v>
      </c>
      <c r="D91" s="5">
        <v>1</v>
      </c>
      <c r="E91" s="5">
        <v>201</v>
      </c>
      <c r="F91" s="5">
        <f>ROUND(Source!O89,O91)</f>
        <v>508165.03</v>
      </c>
      <c r="G91" s="5" t="s">
        <v>99</v>
      </c>
      <c r="H91" s="5" t="s">
        <v>100</v>
      </c>
      <c r="I91" s="5"/>
      <c r="J91" s="5"/>
      <c r="K91" s="5">
        <v>201</v>
      </c>
      <c r="L91" s="5">
        <v>1</v>
      </c>
      <c r="M91" s="5">
        <v>3</v>
      </c>
      <c r="N91" s="5" t="s">
        <v>6</v>
      </c>
      <c r="O91" s="5">
        <v>2</v>
      </c>
      <c r="P91" s="5">
        <f>ROUND(Source!DG89,O91)</f>
        <v>897756.12</v>
      </c>
      <c r="Q91" s="5"/>
      <c r="R91" s="5"/>
      <c r="S91" s="5"/>
      <c r="T91" s="5"/>
      <c r="U91" s="5"/>
      <c r="V91" s="5"/>
      <c r="W91" s="5"/>
    </row>
    <row r="92" spans="1:206" x14ac:dyDescent="0.2">
      <c r="A92" s="5">
        <v>50</v>
      </c>
      <c r="B92" s="5">
        <v>0</v>
      </c>
      <c r="C92" s="5">
        <v>0</v>
      </c>
      <c r="D92" s="5">
        <v>1</v>
      </c>
      <c r="E92" s="5">
        <v>202</v>
      </c>
      <c r="F92" s="5">
        <f>ROUND(Source!P89,O92)</f>
        <v>499848.97</v>
      </c>
      <c r="G92" s="5" t="s">
        <v>101</v>
      </c>
      <c r="H92" s="5" t="s">
        <v>102</v>
      </c>
      <c r="I92" s="5"/>
      <c r="J92" s="5"/>
      <c r="K92" s="5">
        <v>202</v>
      </c>
      <c r="L92" s="5">
        <v>2</v>
      </c>
      <c r="M92" s="5">
        <v>3</v>
      </c>
      <c r="N92" s="5" t="s">
        <v>6</v>
      </c>
      <c r="O92" s="5">
        <v>2</v>
      </c>
      <c r="P92" s="5">
        <f>ROUND(Source!DH89,O92)</f>
        <v>843119.63</v>
      </c>
      <c r="Q92" s="5"/>
      <c r="R92" s="5"/>
      <c r="S92" s="5"/>
      <c r="T92" s="5"/>
      <c r="U92" s="5"/>
      <c r="V92" s="5"/>
      <c r="W92" s="5"/>
    </row>
    <row r="93" spans="1:206" x14ac:dyDescent="0.2">
      <c r="A93" s="5">
        <v>50</v>
      </c>
      <c r="B93" s="5">
        <v>0</v>
      </c>
      <c r="C93" s="5">
        <v>0</v>
      </c>
      <c r="D93" s="5">
        <v>1</v>
      </c>
      <c r="E93" s="5">
        <v>222</v>
      </c>
      <c r="F93" s="5">
        <f>ROUND(Source!AO89,O93)</f>
        <v>0</v>
      </c>
      <c r="G93" s="5" t="s">
        <v>103</v>
      </c>
      <c r="H93" s="5" t="s">
        <v>104</v>
      </c>
      <c r="I93" s="5"/>
      <c r="J93" s="5"/>
      <c r="K93" s="5">
        <v>222</v>
      </c>
      <c r="L93" s="5">
        <v>3</v>
      </c>
      <c r="M93" s="5">
        <v>3</v>
      </c>
      <c r="N93" s="5" t="s">
        <v>6</v>
      </c>
      <c r="O93" s="5">
        <v>2</v>
      </c>
      <c r="P93" s="5">
        <f>ROUND(Source!EG89,O93)</f>
        <v>0</v>
      </c>
      <c r="Q93" s="5"/>
      <c r="R93" s="5"/>
      <c r="S93" s="5"/>
      <c r="T93" s="5"/>
      <c r="U93" s="5"/>
      <c r="V93" s="5"/>
      <c r="W93" s="5"/>
    </row>
    <row r="94" spans="1:206" x14ac:dyDescent="0.2">
      <c r="A94" s="5">
        <v>50</v>
      </c>
      <c r="B94" s="5">
        <v>0</v>
      </c>
      <c r="C94" s="5">
        <v>0</v>
      </c>
      <c r="D94" s="5">
        <v>1</v>
      </c>
      <c r="E94" s="5">
        <v>225</v>
      </c>
      <c r="F94" s="5">
        <f>ROUND(Source!AV89,O94)</f>
        <v>499848.97</v>
      </c>
      <c r="G94" s="5" t="s">
        <v>105</v>
      </c>
      <c r="H94" s="5" t="s">
        <v>106</v>
      </c>
      <c r="I94" s="5"/>
      <c r="J94" s="5"/>
      <c r="K94" s="5">
        <v>225</v>
      </c>
      <c r="L94" s="5">
        <v>4</v>
      </c>
      <c r="M94" s="5">
        <v>3</v>
      </c>
      <c r="N94" s="5" t="s">
        <v>6</v>
      </c>
      <c r="O94" s="5">
        <v>2</v>
      </c>
      <c r="P94" s="5">
        <f>ROUND(Source!EN89,O94)</f>
        <v>843119.63</v>
      </c>
      <c r="Q94" s="5"/>
      <c r="R94" s="5"/>
      <c r="S94" s="5"/>
      <c r="T94" s="5"/>
      <c r="U94" s="5"/>
      <c r="V94" s="5"/>
      <c r="W94" s="5"/>
    </row>
    <row r="95" spans="1:206" x14ac:dyDescent="0.2">
      <c r="A95" s="5">
        <v>50</v>
      </c>
      <c r="B95" s="5">
        <v>0</v>
      </c>
      <c r="C95" s="5">
        <v>0</v>
      </c>
      <c r="D95" s="5">
        <v>1</v>
      </c>
      <c r="E95" s="5">
        <v>226</v>
      </c>
      <c r="F95" s="5">
        <f>ROUND(Source!AW89,O95)</f>
        <v>499848.97</v>
      </c>
      <c r="G95" s="5" t="s">
        <v>107</v>
      </c>
      <c r="H95" s="5" t="s">
        <v>108</v>
      </c>
      <c r="I95" s="5"/>
      <c r="J95" s="5"/>
      <c r="K95" s="5">
        <v>226</v>
      </c>
      <c r="L95" s="5">
        <v>5</v>
      </c>
      <c r="M95" s="5">
        <v>3</v>
      </c>
      <c r="N95" s="5" t="s">
        <v>6</v>
      </c>
      <c r="O95" s="5">
        <v>2</v>
      </c>
      <c r="P95" s="5">
        <f>ROUND(Source!EO89,O95)</f>
        <v>843119.63</v>
      </c>
      <c r="Q95" s="5"/>
      <c r="R95" s="5"/>
      <c r="S95" s="5"/>
      <c r="T95" s="5"/>
      <c r="U95" s="5"/>
      <c r="V95" s="5"/>
      <c r="W95" s="5"/>
    </row>
    <row r="96" spans="1:206" x14ac:dyDescent="0.2">
      <c r="A96" s="5">
        <v>50</v>
      </c>
      <c r="B96" s="5">
        <v>0</v>
      </c>
      <c r="C96" s="5">
        <v>0</v>
      </c>
      <c r="D96" s="5">
        <v>1</v>
      </c>
      <c r="E96" s="5">
        <v>227</v>
      </c>
      <c r="F96" s="5">
        <f>ROUND(Source!AX89,O96)</f>
        <v>0</v>
      </c>
      <c r="G96" s="5" t="s">
        <v>109</v>
      </c>
      <c r="H96" s="5" t="s">
        <v>110</v>
      </c>
      <c r="I96" s="5"/>
      <c r="J96" s="5"/>
      <c r="K96" s="5">
        <v>227</v>
      </c>
      <c r="L96" s="5">
        <v>6</v>
      </c>
      <c r="M96" s="5">
        <v>3</v>
      </c>
      <c r="N96" s="5" t="s">
        <v>6</v>
      </c>
      <c r="O96" s="5">
        <v>2</v>
      </c>
      <c r="P96" s="5">
        <f>ROUND(Source!EP89,O96)</f>
        <v>0</v>
      </c>
      <c r="Q96" s="5"/>
      <c r="R96" s="5"/>
      <c r="S96" s="5"/>
      <c r="T96" s="5"/>
      <c r="U96" s="5"/>
      <c r="V96" s="5"/>
      <c r="W96" s="5"/>
    </row>
    <row r="97" spans="1:23" x14ac:dyDescent="0.2">
      <c r="A97" s="5">
        <v>50</v>
      </c>
      <c r="B97" s="5">
        <v>0</v>
      </c>
      <c r="C97" s="5">
        <v>0</v>
      </c>
      <c r="D97" s="5">
        <v>1</v>
      </c>
      <c r="E97" s="5">
        <v>228</v>
      </c>
      <c r="F97" s="5">
        <f>ROUND(Source!AY89,O97)</f>
        <v>499848.97</v>
      </c>
      <c r="G97" s="5" t="s">
        <v>111</v>
      </c>
      <c r="H97" s="5" t="s">
        <v>112</v>
      </c>
      <c r="I97" s="5"/>
      <c r="J97" s="5"/>
      <c r="K97" s="5">
        <v>228</v>
      </c>
      <c r="L97" s="5">
        <v>7</v>
      </c>
      <c r="M97" s="5">
        <v>3</v>
      </c>
      <c r="N97" s="5" t="s">
        <v>6</v>
      </c>
      <c r="O97" s="5">
        <v>2</v>
      </c>
      <c r="P97" s="5">
        <f>ROUND(Source!EQ89,O97)</f>
        <v>843119.63</v>
      </c>
      <c r="Q97" s="5"/>
      <c r="R97" s="5"/>
      <c r="S97" s="5"/>
      <c r="T97" s="5"/>
      <c r="U97" s="5"/>
      <c r="V97" s="5"/>
      <c r="W97" s="5"/>
    </row>
    <row r="98" spans="1:23" x14ac:dyDescent="0.2">
      <c r="A98" s="5">
        <v>50</v>
      </c>
      <c r="B98" s="5">
        <v>0</v>
      </c>
      <c r="C98" s="5">
        <v>0</v>
      </c>
      <c r="D98" s="5">
        <v>1</v>
      </c>
      <c r="E98" s="5">
        <v>216</v>
      </c>
      <c r="F98" s="5">
        <f>ROUND(Source!AP89,O98)</f>
        <v>0</v>
      </c>
      <c r="G98" s="5" t="s">
        <v>113</v>
      </c>
      <c r="H98" s="5" t="s">
        <v>114</v>
      </c>
      <c r="I98" s="5"/>
      <c r="J98" s="5"/>
      <c r="K98" s="5">
        <v>216</v>
      </c>
      <c r="L98" s="5">
        <v>8</v>
      </c>
      <c r="M98" s="5">
        <v>3</v>
      </c>
      <c r="N98" s="5" t="s">
        <v>6</v>
      </c>
      <c r="O98" s="5">
        <v>2</v>
      </c>
      <c r="P98" s="5">
        <f>ROUND(Source!EH89,O98)</f>
        <v>0</v>
      </c>
      <c r="Q98" s="5"/>
      <c r="R98" s="5"/>
      <c r="S98" s="5"/>
      <c r="T98" s="5"/>
      <c r="U98" s="5"/>
      <c r="V98" s="5"/>
      <c r="W98" s="5"/>
    </row>
    <row r="99" spans="1:23" x14ac:dyDescent="0.2">
      <c r="A99" s="5">
        <v>50</v>
      </c>
      <c r="B99" s="5">
        <v>0</v>
      </c>
      <c r="C99" s="5">
        <v>0</v>
      </c>
      <c r="D99" s="5">
        <v>1</v>
      </c>
      <c r="E99" s="5">
        <v>223</v>
      </c>
      <c r="F99" s="5">
        <f>ROUND(Source!AQ89,O99)</f>
        <v>0</v>
      </c>
      <c r="G99" s="5" t="s">
        <v>115</v>
      </c>
      <c r="H99" s="5" t="s">
        <v>116</v>
      </c>
      <c r="I99" s="5"/>
      <c r="J99" s="5"/>
      <c r="K99" s="5">
        <v>223</v>
      </c>
      <c r="L99" s="5">
        <v>9</v>
      </c>
      <c r="M99" s="5">
        <v>3</v>
      </c>
      <c r="N99" s="5" t="s">
        <v>6</v>
      </c>
      <c r="O99" s="5">
        <v>2</v>
      </c>
      <c r="P99" s="5">
        <f>ROUND(Source!EI89,O99)</f>
        <v>0</v>
      </c>
      <c r="Q99" s="5"/>
      <c r="R99" s="5"/>
      <c r="S99" s="5"/>
      <c r="T99" s="5"/>
      <c r="U99" s="5"/>
      <c r="V99" s="5"/>
      <c r="W99" s="5"/>
    </row>
    <row r="100" spans="1:23" x14ac:dyDescent="0.2">
      <c r="A100" s="5">
        <v>50</v>
      </c>
      <c r="B100" s="5">
        <v>0</v>
      </c>
      <c r="C100" s="5">
        <v>0</v>
      </c>
      <c r="D100" s="5">
        <v>1</v>
      </c>
      <c r="E100" s="5">
        <v>229</v>
      </c>
      <c r="F100" s="5">
        <f>ROUND(Source!AZ89,O100)</f>
        <v>0</v>
      </c>
      <c r="G100" s="5" t="s">
        <v>117</v>
      </c>
      <c r="H100" s="5" t="s">
        <v>118</v>
      </c>
      <c r="I100" s="5"/>
      <c r="J100" s="5"/>
      <c r="K100" s="5">
        <v>229</v>
      </c>
      <c r="L100" s="5">
        <v>10</v>
      </c>
      <c r="M100" s="5">
        <v>3</v>
      </c>
      <c r="N100" s="5" t="s">
        <v>6</v>
      </c>
      <c r="O100" s="5">
        <v>2</v>
      </c>
      <c r="P100" s="5">
        <f>ROUND(Source!ER89,O100)</f>
        <v>0</v>
      </c>
      <c r="Q100" s="5"/>
      <c r="R100" s="5"/>
      <c r="S100" s="5"/>
      <c r="T100" s="5"/>
      <c r="U100" s="5"/>
      <c r="V100" s="5"/>
      <c r="W100" s="5"/>
    </row>
    <row r="101" spans="1:23" x14ac:dyDescent="0.2">
      <c r="A101" s="5">
        <v>50</v>
      </c>
      <c r="B101" s="5">
        <v>0</v>
      </c>
      <c r="C101" s="5">
        <v>0</v>
      </c>
      <c r="D101" s="5">
        <v>1</v>
      </c>
      <c r="E101" s="5">
        <v>203</v>
      </c>
      <c r="F101" s="5">
        <f>ROUND(Source!Q89,O101)</f>
        <v>884.6</v>
      </c>
      <c r="G101" s="5" t="s">
        <v>119</v>
      </c>
      <c r="H101" s="5" t="s">
        <v>120</v>
      </c>
      <c r="I101" s="5"/>
      <c r="J101" s="5"/>
      <c r="K101" s="5">
        <v>203</v>
      </c>
      <c r="L101" s="5">
        <v>11</v>
      </c>
      <c r="M101" s="5">
        <v>3</v>
      </c>
      <c r="N101" s="5" t="s">
        <v>6</v>
      </c>
      <c r="O101" s="5">
        <v>2</v>
      </c>
      <c r="P101" s="5">
        <f>ROUND(Source!DI89,O101)</f>
        <v>5811.8</v>
      </c>
      <c r="Q101" s="5"/>
      <c r="R101" s="5"/>
      <c r="S101" s="5"/>
      <c r="T101" s="5"/>
      <c r="U101" s="5"/>
      <c r="V101" s="5"/>
      <c r="W101" s="5"/>
    </row>
    <row r="102" spans="1:23" x14ac:dyDescent="0.2">
      <c r="A102" s="5">
        <v>50</v>
      </c>
      <c r="B102" s="5">
        <v>0</v>
      </c>
      <c r="C102" s="5">
        <v>0</v>
      </c>
      <c r="D102" s="5">
        <v>1</v>
      </c>
      <c r="E102" s="5">
        <v>231</v>
      </c>
      <c r="F102" s="5">
        <f>ROUND(Source!BB89,O102)</f>
        <v>0</v>
      </c>
      <c r="G102" s="5" t="s">
        <v>121</v>
      </c>
      <c r="H102" s="5" t="s">
        <v>122</v>
      </c>
      <c r="I102" s="5"/>
      <c r="J102" s="5"/>
      <c r="K102" s="5">
        <v>231</v>
      </c>
      <c r="L102" s="5">
        <v>12</v>
      </c>
      <c r="M102" s="5">
        <v>3</v>
      </c>
      <c r="N102" s="5" t="s">
        <v>6</v>
      </c>
      <c r="O102" s="5">
        <v>2</v>
      </c>
      <c r="P102" s="5">
        <f>ROUND(Source!ET89,O102)</f>
        <v>0</v>
      </c>
      <c r="Q102" s="5"/>
      <c r="R102" s="5"/>
      <c r="S102" s="5"/>
      <c r="T102" s="5"/>
      <c r="U102" s="5"/>
      <c r="V102" s="5"/>
      <c r="W102" s="5"/>
    </row>
    <row r="103" spans="1:23" x14ac:dyDescent="0.2">
      <c r="A103" s="5">
        <v>50</v>
      </c>
      <c r="B103" s="5">
        <v>0</v>
      </c>
      <c r="C103" s="5">
        <v>0</v>
      </c>
      <c r="D103" s="5">
        <v>1</v>
      </c>
      <c r="E103" s="5">
        <v>204</v>
      </c>
      <c r="F103" s="5">
        <f>ROUND(Source!R89,O103)</f>
        <v>266.58</v>
      </c>
      <c r="G103" s="5" t="s">
        <v>123</v>
      </c>
      <c r="H103" s="5" t="s">
        <v>124</v>
      </c>
      <c r="I103" s="5"/>
      <c r="J103" s="5"/>
      <c r="K103" s="5">
        <v>204</v>
      </c>
      <c r="L103" s="5">
        <v>13</v>
      </c>
      <c r="M103" s="5">
        <v>3</v>
      </c>
      <c r="N103" s="5" t="s">
        <v>6</v>
      </c>
      <c r="O103" s="5">
        <v>2</v>
      </c>
      <c r="P103" s="5">
        <f>ROUND(Source!DJ89,O103)</f>
        <v>1751.44</v>
      </c>
      <c r="Q103" s="5"/>
      <c r="R103" s="5"/>
      <c r="S103" s="5"/>
      <c r="T103" s="5"/>
      <c r="U103" s="5"/>
      <c r="V103" s="5"/>
      <c r="W103" s="5"/>
    </row>
    <row r="104" spans="1:23" x14ac:dyDescent="0.2">
      <c r="A104" s="5">
        <v>50</v>
      </c>
      <c r="B104" s="5">
        <v>0</v>
      </c>
      <c r="C104" s="5">
        <v>0</v>
      </c>
      <c r="D104" s="5">
        <v>1</v>
      </c>
      <c r="E104" s="5">
        <v>205</v>
      </c>
      <c r="F104" s="5">
        <f>ROUND(Source!S89,O104)</f>
        <v>7431.46</v>
      </c>
      <c r="G104" s="5" t="s">
        <v>125</v>
      </c>
      <c r="H104" s="5" t="s">
        <v>126</v>
      </c>
      <c r="I104" s="5"/>
      <c r="J104" s="5"/>
      <c r="K104" s="5">
        <v>205</v>
      </c>
      <c r="L104" s="5">
        <v>14</v>
      </c>
      <c r="M104" s="5">
        <v>3</v>
      </c>
      <c r="N104" s="5" t="s">
        <v>6</v>
      </c>
      <c r="O104" s="5">
        <v>2</v>
      </c>
      <c r="P104" s="5">
        <f>ROUND(Source!DK89,O104)</f>
        <v>48824.69</v>
      </c>
      <c r="Q104" s="5"/>
      <c r="R104" s="5"/>
      <c r="S104" s="5"/>
      <c r="T104" s="5"/>
      <c r="U104" s="5"/>
      <c r="V104" s="5"/>
      <c r="W104" s="5"/>
    </row>
    <row r="105" spans="1:23" x14ac:dyDescent="0.2">
      <c r="A105" s="5">
        <v>50</v>
      </c>
      <c r="B105" s="5">
        <v>0</v>
      </c>
      <c r="C105" s="5">
        <v>0</v>
      </c>
      <c r="D105" s="5">
        <v>1</v>
      </c>
      <c r="E105" s="5">
        <v>232</v>
      </c>
      <c r="F105" s="5">
        <f>ROUND(Source!BC89,O105)</f>
        <v>0</v>
      </c>
      <c r="G105" s="5" t="s">
        <v>127</v>
      </c>
      <c r="H105" s="5" t="s">
        <v>128</v>
      </c>
      <c r="I105" s="5"/>
      <c r="J105" s="5"/>
      <c r="K105" s="5">
        <v>232</v>
      </c>
      <c r="L105" s="5">
        <v>15</v>
      </c>
      <c r="M105" s="5">
        <v>3</v>
      </c>
      <c r="N105" s="5" t="s">
        <v>6</v>
      </c>
      <c r="O105" s="5">
        <v>2</v>
      </c>
      <c r="P105" s="5">
        <f>ROUND(Source!EU89,O105)</f>
        <v>0</v>
      </c>
      <c r="Q105" s="5"/>
      <c r="R105" s="5"/>
      <c r="S105" s="5"/>
      <c r="T105" s="5"/>
      <c r="U105" s="5"/>
      <c r="V105" s="5"/>
      <c r="W105" s="5"/>
    </row>
    <row r="106" spans="1:23" x14ac:dyDescent="0.2">
      <c r="A106" s="5">
        <v>50</v>
      </c>
      <c r="B106" s="5">
        <v>0</v>
      </c>
      <c r="C106" s="5">
        <v>0</v>
      </c>
      <c r="D106" s="5">
        <v>1</v>
      </c>
      <c r="E106" s="5">
        <v>214</v>
      </c>
      <c r="F106" s="5">
        <f>ROUND(Source!AS89,O106)</f>
        <v>518057.25</v>
      </c>
      <c r="G106" s="5" t="s">
        <v>129</v>
      </c>
      <c r="H106" s="5" t="s">
        <v>130</v>
      </c>
      <c r="I106" s="5"/>
      <c r="J106" s="5"/>
      <c r="K106" s="5">
        <v>214</v>
      </c>
      <c r="L106" s="5">
        <v>16</v>
      </c>
      <c r="M106" s="5">
        <v>3</v>
      </c>
      <c r="N106" s="5" t="s">
        <v>6</v>
      </c>
      <c r="O106" s="5">
        <v>2</v>
      </c>
      <c r="P106" s="5">
        <f>ROUND(Source!EK89,O106)</f>
        <v>976051.94</v>
      </c>
      <c r="Q106" s="5"/>
      <c r="R106" s="5"/>
      <c r="S106" s="5"/>
      <c r="T106" s="5"/>
      <c r="U106" s="5"/>
      <c r="V106" s="5"/>
      <c r="W106" s="5"/>
    </row>
    <row r="107" spans="1:23" x14ac:dyDescent="0.2">
      <c r="A107" s="5">
        <v>50</v>
      </c>
      <c r="B107" s="5">
        <v>0</v>
      </c>
      <c r="C107" s="5">
        <v>0</v>
      </c>
      <c r="D107" s="5">
        <v>1</v>
      </c>
      <c r="E107" s="5">
        <v>215</v>
      </c>
      <c r="F107" s="5">
        <f>ROUND(Source!AT89,O107)</f>
        <v>0</v>
      </c>
      <c r="G107" s="5" t="s">
        <v>131</v>
      </c>
      <c r="H107" s="5" t="s">
        <v>132</v>
      </c>
      <c r="I107" s="5"/>
      <c r="J107" s="5"/>
      <c r="K107" s="5">
        <v>215</v>
      </c>
      <c r="L107" s="5">
        <v>17</v>
      </c>
      <c r="M107" s="5">
        <v>3</v>
      </c>
      <c r="N107" s="5" t="s">
        <v>6</v>
      </c>
      <c r="O107" s="5">
        <v>2</v>
      </c>
      <c r="P107" s="5">
        <f>ROUND(Source!EL89,O107)</f>
        <v>0</v>
      </c>
      <c r="Q107" s="5"/>
      <c r="R107" s="5"/>
      <c r="S107" s="5"/>
      <c r="T107" s="5"/>
      <c r="U107" s="5"/>
      <c r="V107" s="5"/>
      <c r="W107" s="5"/>
    </row>
    <row r="108" spans="1:23" x14ac:dyDescent="0.2">
      <c r="A108" s="5">
        <v>50</v>
      </c>
      <c r="B108" s="5">
        <v>0</v>
      </c>
      <c r="C108" s="5">
        <v>0</v>
      </c>
      <c r="D108" s="5">
        <v>1</v>
      </c>
      <c r="E108" s="5">
        <v>217</v>
      </c>
      <c r="F108" s="5">
        <f>ROUND(Source!AU89,O108)</f>
        <v>0</v>
      </c>
      <c r="G108" s="5" t="s">
        <v>133</v>
      </c>
      <c r="H108" s="5" t="s">
        <v>134</v>
      </c>
      <c r="I108" s="5"/>
      <c r="J108" s="5"/>
      <c r="K108" s="5">
        <v>217</v>
      </c>
      <c r="L108" s="5">
        <v>18</v>
      </c>
      <c r="M108" s="5">
        <v>3</v>
      </c>
      <c r="N108" s="5" t="s">
        <v>6</v>
      </c>
      <c r="O108" s="5">
        <v>2</v>
      </c>
      <c r="P108" s="5">
        <f>ROUND(Source!EM89,O108)</f>
        <v>0</v>
      </c>
      <c r="Q108" s="5"/>
      <c r="R108" s="5"/>
      <c r="S108" s="5"/>
      <c r="T108" s="5"/>
      <c r="U108" s="5"/>
      <c r="V108" s="5"/>
      <c r="W108" s="5"/>
    </row>
    <row r="109" spans="1:23" x14ac:dyDescent="0.2">
      <c r="A109" s="5">
        <v>50</v>
      </c>
      <c r="B109" s="5">
        <v>0</v>
      </c>
      <c r="C109" s="5">
        <v>0</v>
      </c>
      <c r="D109" s="5">
        <v>1</v>
      </c>
      <c r="E109" s="5">
        <v>230</v>
      </c>
      <c r="F109" s="5">
        <f>ROUND(Source!BA89,O109)</f>
        <v>0</v>
      </c>
      <c r="G109" s="5" t="s">
        <v>135</v>
      </c>
      <c r="H109" s="5" t="s">
        <v>136</v>
      </c>
      <c r="I109" s="5"/>
      <c r="J109" s="5"/>
      <c r="K109" s="5">
        <v>230</v>
      </c>
      <c r="L109" s="5">
        <v>19</v>
      </c>
      <c r="M109" s="5">
        <v>3</v>
      </c>
      <c r="N109" s="5" t="s">
        <v>6</v>
      </c>
      <c r="O109" s="5">
        <v>2</v>
      </c>
      <c r="P109" s="5">
        <f>ROUND(Source!ES89,O109)</f>
        <v>0</v>
      </c>
      <c r="Q109" s="5"/>
      <c r="R109" s="5"/>
      <c r="S109" s="5"/>
      <c r="T109" s="5"/>
      <c r="U109" s="5"/>
      <c r="V109" s="5"/>
      <c r="W109" s="5"/>
    </row>
    <row r="110" spans="1:23" x14ac:dyDescent="0.2">
      <c r="A110" s="5">
        <v>50</v>
      </c>
      <c r="B110" s="5">
        <v>0</v>
      </c>
      <c r="C110" s="5">
        <v>0</v>
      </c>
      <c r="D110" s="5">
        <v>1</v>
      </c>
      <c r="E110" s="5">
        <v>206</v>
      </c>
      <c r="F110" s="5">
        <f>ROUND(Source!T89,O110)</f>
        <v>0</v>
      </c>
      <c r="G110" s="5" t="s">
        <v>137</v>
      </c>
      <c r="H110" s="5" t="s">
        <v>138</v>
      </c>
      <c r="I110" s="5"/>
      <c r="J110" s="5"/>
      <c r="K110" s="5">
        <v>206</v>
      </c>
      <c r="L110" s="5">
        <v>20</v>
      </c>
      <c r="M110" s="5">
        <v>3</v>
      </c>
      <c r="N110" s="5" t="s">
        <v>6</v>
      </c>
      <c r="O110" s="5">
        <v>2</v>
      </c>
      <c r="P110" s="5">
        <f>ROUND(Source!DL89,O110)</f>
        <v>0</v>
      </c>
      <c r="Q110" s="5"/>
      <c r="R110" s="5"/>
      <c r="S110" s="5"/>
      <c r="T110" s="5"/>
      <c r="U110" s="5"/>
      <c r="V110" s="5"/>
      <c r="W110" s="5"/>
    </row>
    <row r="111" spans="1:23" x14ac:dyDescent="0.2">
      <c r="A111" s="5">
        <v>50</v>
      </c>
      <c r="B111" s="5">
        <v>0</v>
      </c>
      <c r="C111" s="5">
        <v>0</v>
      </c>
      <c r="D111" s="5">
        <v>1</v>
      </c>
      <c r="E111" s="5">
        <v>207</v>
      </c>
      <c r="F111" s="5">
        <f>Source!U89</f>
        <v>862.14201600000001</v>
      </c>
      <c r="G111" s="5" t="s">
        <v>139</v>
      </c>
      <c r="H111" s="5" t="s">
        <v>140</v>
      </c>
      <c r="I111" s="5"/>
      <c r="J111" s="5"/>
      <c r="K111" s="5">
        <v>207</v>
      </c>
      <c r="L111" s="5">
        <v>21</v>
      </c>
      <c r="M111" s="5">
        <v>3</v>
      </c>
      <c r="N111" s="5" t="s">
        <v>6</v>
      </c>
      <c r="O111" s="5">
        <v>-1</v>
      </c>
      <c r="P111" s="5">
        <f>Source!DM89</f>
        <v>862.14201600000001</v>
      </c>
      <c r="Q111" s="5"/>
      <c r="R111" s="5"/>
      <c r="S111" s="5"/>
      <c r="T111" s="5"/>
      <c r="U111" s="5"/>
      <c r="V111" s="5"/>
      <c r="W111" s="5"/>
    </row>
    <row r="112" spans="1:23" x14ac:dyDescent="0.2">
      <c r="A112" s="5">
        <v>50</v>
      </c>
      <c r="B112" s="5">
        <v>0</v>
      </c>
      <c r="C112" s="5">
        <v>0</v>
      </c>
      <c r="D112" s="5">
        <v>1</v>
      </c>
      <c r="E112" s="5">
        <v>208</v>
      </c>
      <c r="F112" s="5">
        <f>Source!V89</f>
        <v>20.715200000000003</v>
      </c>
      <c r="G112" s="5" t="s">
        <v>141</v>
      </c>
      <c r="H112" s="5" t="s">
        <v>142</v>
      </c>
      <c r="I112" s="5"/>
      <c r="J112" s="5"/>
      <c r="K112" s="5">
        <v>208</v>
      </c>
      <c r="L112" s="5">
        <v>22</v>
      </c>
      <c r="M112" s="5">
        <v>3</v>
      </c>
      <c r="N112" s="5" t="s">
        <v>6</v>
      </c>
      <c r="O112" s="5">
        <v>-1</v>
      </c>
      <c r="P112" s="5">
        <f>Source!DN89</f>
        <v>20.715200000000003</v>
      </c>
      <c r="Q112" s="5"/>
      <c r="R112" s="5"/>
      <c r="S112" s="5"/>
      <c r="T112" s="5"/>
      <c r="U112" s="5"/>
      <c r="V112" s="5"/>
      <c r="W112" s="5"/>
    </row>
    <row r="113" spans="1:23" x14ac:dyDescent="0.2">
      <c r="A113" s="5">
        <v>50</v>
      </c>
      <c r="B113" s="5">
        <v>0</v>
      </c>
      <c r="C113" s="5">
        <v>0</v>
      </c>
      <c r="D113" s="5">
        <v>1</v>
      </c>
      <c r="E113" s="5">
        <v>209</v>
      </c>
      <c r="F113" s="5">
        <f>ROUND(Source!W89,O113)</f>
        <v>0</v>
      </c>
      <c r="G113" s="5" t="s">
        <v>143</v>
      </c>
      <c r="H113" s="5" t="s">
        <v>144</v>
      </c>
      <c r="I113" s="5"/>
      <c r="J113" s="5"/>
      <c r="K113" s="5">
        <v>209</v>
      </c>
      <c r="L113" s="5">
        <v>23</v>
      </c>
      <c r="M113" s="5">
        <v>3</v>
      </c>
      <c r="N113" s="5" t="s">
        <v>6</v>
      </c>
      <c r="O113" s="5">
        <v>2</v>
      </c>
      <c r="P113" s="5">
        <f>ROUND(Source!DO89,O113)</f>
        <v>0</v>
      </c>
      <c r="Q113" s="5"/>
      <c r="R113" s="5"/>
      <c r="S113" s="5"/>
      <c r="T113" s="5"/>
      <c r="U113" s="5"/>
      <c r="V113" s="5"/>
      <c r="W113" s="5"/>
    </row>
    <row r="114" spans="1:23" x14ac:dyDescent="0.2">
      <c r="A114" s="5">
        <v>50</v>
      </c>
      <c r="B114" s="5">
        <v>0</v>
      </c>
      <c r="C114" s="5">
        <v>0</v>
      </c>
      <c r="D114" s="5">
        <v>1</v>
      </c>
      <c r="E114" s="5">
        <v>210</v>
      </c>
      <c r="F114" s="5">
        <f>ROUND(Source!X89,O114)</f>
        <v>6467.1</v>
      </c>
      <c r="G114" s="5" t="s">
        <v>145</v>
      </c>
      <c r="H114" s="5" t="s">
        <v>146</v>
      </c>
      <c r="I114" s="5"/>
      <c r="J114" s="5"/>
      <c r="K114" s="5">
        <v>210</v>
      </c>
      <c r="L114" s="5">
        <v>24</v>
      </c>
      <c r="M114" s="5">
        <v>3</v>
      </c>
      <c r="N114" s="5" t="s">
        <v>6</v>
      </c>
      <c r="O114" s="5">
        <v>2</v>
      </c>
      <c r="P114" s="5">
        <f>ROUND(Source!DP89,O114)</f>
        <v>50154.19</v>
      </c>
      <c r="Q114" s="5"/>
      <c r="R114" s="5"/>
      <c r="S114" s="5"/>
      <c r="T114" s="5"/>
      <c r="U114" s="5"/>
      <c r="V114" s="5"/>
      <c r="W114" s="5"/>
    </row>
    <row r="115" spans="1:23" x14ac:dyDescent="0.2">
      <c r="A115" s="5">
        <v>50</v>
      </c>
      <c r="B115" s="5">
        <v>0</v>
      </c>
      <c r="C115" s="5">
        <v>0</v>
      </c>
      <c r="D115" s="5">
        <v>1</v>
      </c>
      <c r="E115" s="5">
        <v>211</v>
      </c>
      <c r="F115" s="5">
        <f>ROUND(Source!Y89,O115)</f>
        <v>3340.58</v>
      </c>
      <c r="G115" s="5" t="s">
        <v>147</v>
      </c>
      <c r="H115" s="5" t="s">
        <v>148</v>
      </c>
      <c r="I115" s="5"/>
      <c r="J115" s="5"/>
      <c r="K115" s="5">
        <v>211</v>
      </c>
      <c r="L115" s="5">
        <v>25</v>
      </c>
      <c r="M115" s="5">
        <v>3</v>
      </c>
      <c r="N115" s="5" t="s">
        <v>6</v>
      </c>
      <c r="O115" s="5">
        <v>2</v>
      </c>
      <c r="P115" s="5">
        <f>ROUND(Source!DQ89,O115)</f>
        <v>27586.2</v>
      </c>
      <c r="Q115" s="5"/>
      <c r="R115" s="5"/>
      <c r="S115" s="5"/>
      <c r="T115" s="5"/>
      <c r="U115" s="5"/>
      <c r="V115" s="5"/>
      <c r="W115" s="5"/>
    </row>
    <row r="116" spans="1:23" x14ac:dyDescent="0.2">
      <c r="A116" s="5">
        <v>50</v>
      </c>
      <c r="B116" s="5">
        <v>0</v>
      </c>
      <c r="C116" s="5">
        <v>0</v>
      </c>
      <c r="D116" s="5">
        <v>1</v>
      </c>
      <c r="E116" s="5">
        <v>0</v>
      </c>
      <c r="F116" s="5">
        <f>ROUND(Source!AR89,O116)</f>
        <v>518057.25</v>
      </c>
      <c r="G116" s="5" t="s">
        <v>149</v>
      </c>
      <c r="H116" s="5" t="s">
        <v>150</v>
      </c>
      <c r="I116" s="5"/>
      <c r="J116" s="5"/>
      <c r="K116" s="5">
        <v>224</v>
      </c>
      <c r="L116" s="5">
        <v>26</v>
      </c>
      <c r="M116" s="5">
        <v>3</v>
      </c>
      <c r="N116" s="5" t="s">
        <v>6</v>
      </c>
      <c r="O116" s="5">
        <v>2</v>
      </c>
      <c r="P116" s="5">
        <f>ROUND(Source!EJ89,O116)</f>
        <v>976051.94</v>
      </c>
      <c r="Q116" s="5"/>
      <c r="R116" s="5"/>
      <c r="S116" s="5"/>
      <c r="T116" s="5"/>
      <c r="U116" s="5"/>
      <c r="V116" s="5"/>
      <c r="W116" s="5"/>
    </row>
    <row r="117" spans="1:23" x14ac:dyDescent="0.2">
      <c r="A117" s="5">
        <v>50</v>
      </c>
      <c r="B117" s="5">
        <v>1</v>
      </c>
      <c r="C117" s="5">
        <v>0</v>
      </c>
      <c r="D117" s="5">
        <v>2</v>
      </c>
      <c r="E117" s="5">
        <v>0</v>
      </c>
      <c r="F117" s="5">
        <f>ROUND(F116,O117)</f>
        <v>518057.25</v>
      </c>
      <c r="G117" s="5" t="s">
        <v>151</v>
      </c>
      <c r="H117" s="5" t="s">
        <v>149</v>
      </c>
      <c r="I117" s="5"/>
      <c r="J117" s="5"/>
      <c r="K117" s="5">
        <v>212</v>
      </c>
      <c r="L117" s="5">
        <v>27</v>
      </c>
      <c r="M117" s="5">
        <v>0</v>
      </c>
      <c r="N117" s="5" t="s">
        <v>6</v>
      </c>
      <c r="O117" s="5">
        <v>2</v>
      </c>
      <c r="P117" s="5">
        <f>ROUND(P116,O117)</f>
        <v>976051.94</v>
      </c>
      <c r="Q117" s="5"/>
      <c r="R117" s="5"/>
      <c r="S117" s="5"/>
      <c r="T117" s="5"/>
      <c r="U117" s="5"/>
      <c r="V117" s="5"/>
      <c r="W117" s="5"/>
    </row>
    <row r="118" spans="1:23" x14ac:dyDescent="0.2">
      <c r="A118" s="5">
        <v>50</v>
      </c>
      <c r="B118" s="5">
        <v>1</v>
      </c>
      <c r="C118" s="5">
        <v>0</v>
      </c>
      <c r="D118" s="5">
        <v>2</v>
      </c>
      <c r="E118" s="5">
        <v>0</v>
      </c>
      <c r="F118" s="5">
        <f>ROUND(F117*0.18,O118)</f>
        <v>93250.31</v>
      </c>
      <c r="G118" s="5" t="s">
        <v>152</v>
      </c>
      <c r="H118" s="5" t="s">
        <v>153</v>
      </c>
      <c r="I118" s="5"/>
      <c r="J118" s="5"/>
      <c r="K118" s="5">
        <v>212</v>
      </c>
      <c r="L118" s="5">
        <v>28</v>
      </c>
      <c r="M118" s="5">
        <v>0</v>
      </c>
      <c r="N118" s="5" t="s">
        <v>6</v>
      </c>
      <c r="O118" s="5">
        <v>2</v>
      </c>
      <c r="P118" s="5">
        <f>ROUND(P117*0.18,O118)</f>
        <v>175689.35</v>
      </c>
      <c r="Q118" s="5"/>
      <c r="R118" s="5"/>
      <c r="S118" s="5"/>
      <c r="T118" s="5"/>
      <c r="U118" s="5"/>
      <c r="V118" s="5"/>
      <c r="W118" s="5"/>
    </row>
    <row r="119" spans="1:23" x14ac:dyDescent="0.2">
      <c r="A119" s="5">
        <v>50</v>
      </c>
      <c r="B119" s="5">
        <v>1</v>
      </c>
      <c r="C119" s="5">
        <v>0</v>
      </c>
      <c r="D119" s="5">
        <v>2</v>
      </c>
      <c r="E119" s="5">
        <v>224</v>
      </c>
      <c r="F119" s="5">
        <f>ROUND(F117+F118,O119)</f>
        <v>611307.56000000006</v>
      </c>
      <c r="G119" s="5" t="s">
        <v>154</v>
      </c>
      <c r="H119" s="5" t="s">
        <v>155</v>
      </c>
      <c r="I119" s="5"/>
      <c r="J119" s="5"/>
      <c r="K119" s="5">
        <v>212</v>
      </c>
      <c r="L119" s="5">
        <v>29</v>
      </c>
      <c r="M119" s="5">
        <v>0</v>
      </c>
      <c r="N119" s="5" t="s">
        <v>6</v>
      </c>
      <c r="O119" s="5">
        <v>2</v>
      </c>
      <c r="P119" s="5">
        <f>ROUND(P117+P118,O119)</f>
        <v>1151741.29</v>
      </c>
      <c r="Q119" s="5"/>
      <c r="R119" s="5"/>
      <c r="S119" s="5"/>
      <c r="T119" s="5"/>
      <c r="U119" s="5"/>
      <c r="V119" s="5"/>
      <c r="W119" s="5"/>
    </row>
    <row r="122" spans="1:23" x14ac:dyDescent="0.2">
      <c r="A122">
        <v>70</v>
      </c>
      <c r="B122">
        <v>1</v>
      </c>
      <c r="D122">
        <v>1</v>
      </c>
      <c r="E122" t="s">
        <v>156</v>
      </c>
      <c r="F122" t="s">
        <v>157</v>
      </c>
      <c r="G122">
        <v>0</v>
      </c>
      <c r="H122">
        <v>0</v>
      </c>
      <c r="I122" t="s">
        <v>6</v>
      </c>
      <c r="J122">
        <v>1</v>
      </c>
      <c r="K122">
        <v>0</v>
      </c>
      <c r="L122" t="s">
        <v>6</v>
      </c>
      <c r="M122" t="s">
        <v>6</v>
      </c>
      <c r="N122">
        <v>0</v>
      </c>
      <c r="O122">
        <v>0</v>
      </c>
    </row>
    <row r="123" spans="1:23" x14ac:dyDescent="0.2">
      <c r="A123">
        <v>70</v>
      </c>
      <c r="B123">
        <v>1</v>
      </c>
      <c r="D123">
        <v>2</v>
      </c>
      <c r="E123" t="s">
        <v>158</v>
      </c>
      <c r="F123" t="s">
        <v>159</v>
      </c>
      <c r="G123">
        <v>1</v>
      </c>
      <c r="H123">
        <v>0</v>
      </c>
      <c r="I123" t="s">
        <v>6</v>
      </c>
      <c r="J123">
        <v>1</v>
      </c>
      <c r="K123">
        <v>0</v>
      </c>
      <c r="L123" t="s">
        <v>6</v>
      </c>
      <c r="M123" t="s">
        <v>6</v>
      </c>
      <c r="N123">
        <v>0</v>
      </c>
      <c r="O123">
        <v>1</v>
      </c>
    </row>
    <row r="124" spans="1:23" x14ac:dyDescent="0.2">
      <c r="A124">
        <v>70</v>
      </c>
      <c r="B124">
        <v>1</v>
      </c>
      <c r="D124">
        <v>3</v>
      </c>
      <c r="E124" t="s">
        <v>160</v>
      </c>
      <c r="F124" t="s">
        <v>161</v>
      </c>
      <c r="G124">
        <v>0</v>
      </c>
      <c r="H124">
        <v>0</v>
      </c>
      <c r="I124" t="s">
        <v>6</v>
      </c>
      <c r="J124">
        <v>1</v>
      </c>
      <c r="K124">
        <v>0</v>
      </c>
      <c r="L124" t="s">
        <v>6</v>
      </c>
      <c r="M124" t="s">
        <v>6</v>
      </c>
      <c r="N124">
        <v>0</v>
      </c>
      <c r="O124">
        <v>0</v>
      </c>
    </row>
    <row r="125" spans="1:23" x14ac:dyDescent="0.2">
      <c r="A125">
        <v>70</v>
      </c>
      <c r="B125">
        <v>1</v>
      </c>
      <c r="D125">
        <v>4</v>
      </c>
      <c r="E125" t="s">
        <v>162</v>
      </c>
      <c r="F125" t="s">
        <v>163</v>
      </c>
      <c r="G125">
        <v>0</v>
      </c>
      <c r="H125">
        <v>0</v>
      </c>
      <c r="I125" t="s">
        <v>164</v>
      </c>
      <c r="J125">
        <v>0</v>
      </c>
      <c r="K125">
        <v>0</v>
      </c>
      <c r="L125" t="s">
        <v>6</v>
      </c>
      <c r="M125" t="s">
        <v>6</v>
      </c>
      <c r="N125">
        <v>0</v>
      </c>
      <c r="O125">
        <v>0</v>
      </c>
    </row>
    <row r="126" spans="1:23" x14ac:dyDescent="0.2">
      <c r="A126">
        <v>70</v>
      </c>
      <c r="B126">
        <v>1</v>
      </c>
      <c r="D126">
        <v>5</v>
      </c>
      <c r="E126" t="s">
        <v>165</v>
      </c>
      <c r="F126" t="s">
        <v>166</v>
      </c>
      <c r="G126">
        <v>0</v>
      </c>
      <c r="H126">
        <v>0</v>
      </c>
      <c r="I126" t="s">
        <v>167</v>
      </c>
      <c r="J126">
        <v>0</v>
      </c>
      <c r="K126">
        <v>0</v>
      </c>
      <c r="L126" t="s">
        <v>6</v>
      </c>
      <c r="M126" t="s">
        <v>6</v>
      </c>
      <c r="N126">
        <v>0</v>
      </c>
      <c r="O126">
        <v>0</v>
      </c>
    </row>
    <row r="127" spans="1:23" x14ac:dyDescent="0.2">
      <c r="A127">
        <v>70</v>
      </c>
      <c r="B127">
        <v>1</v>
      </c>
      <c r="D127">
        <v>6</v>
      </c>
      <c r="E127" t="s">
        <v>168</v>
      </c>
      <c r="F127" t="s">
        <v>169</v>
      </c>
      <c r="G127">
        <v>0</v>
      </c>
      <c r="H127">
        <v>0</v>
      </c>
      <c r="I127" t="s">
        <v>170</v>
      </c>
      <c r="J127">
        <v>0</v>
      </c>
      <c r="K127">
        <v>0</v>
      </c>
      <c r="L127" t="s">
        <v>6</v>
      </c>
      <c r="M127" t="s">
        <v>6</v>
      </c>
      <c r="N127">
        <v>0</v>
      </c>
      <c r="O127">
        <v>0</v>
      </c>
    </row>
    <row r="128" spans="1:23" x14ac:dyDescent="0.2">
      <c r="A128">
        <v>70</v>
      </c>
      <c r="B128">
        <v>1</v>
      </c>
      <c r="D128">
        <v>7</v>
      </c>
      <c r="E128" t="s">
        <v>171</v>
      </c>
      <c r="F128" t="s">
        <v>172</v>
      </c>
      <c r="G128">
        <v>0</v>
      </c>
      <c r="H128">
        <v>0</v>
      </c>
      <c r="I128" t="s">
        <v>6</v>
      </c>
      <c r="J128">
        <v>0</v>
      </c>
      <c r="K128">
        <v>0</v>
      </c>
      <c r="L128" t="s">
        <v>6</v>
      </c>
      <c r="M128" t="s">
        <v>6</v>
      </c>
      <c r="N128">
        <v>0</v>
      </c>
      <c r="O128">
        <v>0</v>
      </c>
    </row>
    <row r="129" spans="1:15" x14ac:dyDescent="0.2">
      <c r="A129">
        <v>70</v>
      </c>
      <c r="B129">
        <v>1</v>
      </c>
      <c r="D129">
        <v>8</v>
      </c>
      <c r="E129" t="s">
        <v>173</v>
      </c>
      <c r="F129" t="s">
        <v>174</v>
      </c>
      <c r="G129">
        <v>0</v>
      </c>
      <c r="H129">
        <v>0</v>
      </c>
      <c r="I129" t="s">
        <v>175</v>
      </c>
      <c r="J129">
        <v>0</v>
      </c>
      <c r="K129">
        <v>0</v>
      </c>
      <c r="L129" t="s">
        <v>6</v>
      </c>
      <c r="M129" t="s">
        <v>6</v>
      </c>
      <c r="N129">
        <v>0</v>
      </c>
      <c r="O129">
        <v>0</v>
      </c>
    </row>
    <row r="130" spans="1:15" x14ac:dyDescent="0.2">
      <c r="A130">
        <v>70</v>
      </c>
      <c r="B130">
        <v>1</v>
      </c>
      <c r="D130">
        <v>9</v>
      </c>
      <c r="E130" t="s">
        <v>176</v>
      </c>
      <c r="F130" t="s">
        <v>177</v>
      </c>
      <c r="G130">
        <v>0</v>
      </c>
      <c r="H130">
        <v>0</v>
      </c>
      <c r="I130" t="s">
        <v>178</v>
      </c>
      <c r="J130">
        <v>0</v>
      </c>
      <c r="K130">
        <v>0</v>
      </c>
      <c r="L130" t="s">
        <v>6</v>
      </c>
      <c r="M130" t="s">
        <v>6</v>
      </c>
      <c r="N130">
        <v>0</v>
      </c>
      <c r="O130">
        <v>0</v>
      </c>
    </row>
    <row r="131" spans="1:15" x14ac:dyDescent="0.2">
      <c r="A131">
        <v>70</v>
      </c>
      <c r="B131">
        <v>1</v>
      </c>
      <c r="D131">
        <v>10</v>
      </c>
      <c r="E131" t="s">
        <v>179</v>
      </c>
      <c r="F131" t="s">
        <v>180</v>
      </c>
      <c r="G131">
        <v>0</v>
      </c>
      <c r="H131">
        <v>0</v>
      </c>
      <c r="I131" t="s">
        <v>181</v>
      </c>
      <c r="J131">
        <v>0</v>
      </c>
      <c r="K131">
        <v>0</v>
      </c>
      <c r="L131" t="s">
        <v>6</v>
      </c>
      <c r="M131" t="s">
        <v>6</v>
      </c>
      <c r="N131">
        <v>0</v>
      </c>
      <c r="O131">
        <v>0</v>
      </c>
    </row>
    <row r="132" spans="1:15" x14ac:dyDescent="0.2">
      <c r="A132">
        <v>70</v>
      </c>
      <c r="B132">
        <v>1</v>
      </c>
      <c r="D132">
        <v>11</v>
      </c>
      <c r="E132" t="s">
        <v>182</v>
      </c>
      <c r="F132" t="s">
        <v>183</v>
      </c>
      <c r="G132">
        <v>0</v>
      </c>
      <c r="H132">
        <v>0</v>
      </c>
      <c r="I132" t="s">
        <v>184</v>
      </c>
      <c r="J132">
        <v>0</v>
      </c>
      <c r="K132">
        <v>0</v>
      </c>
      <c r="L132" t="s">
        <v>6</v>
      </c>
      <c r="M132" t="s">
        <v>6</v>
      </c>
      <c r="N132">
        <v>0</v>
      </c>
      <c r="O132">
        <v>0</v>
      </c>
    </row>
    <row r="133" spans="1:15" x14ac:dyDescent="0.2">
      <c r="A133">
        <v>70</v>
      </c>
      <c r="B133">
        <v>1</v>
      </c>
      <c r="D133">
        <v>12</v>
      </c>
      <c r="E133" t="s">
        <v>185</v>
      </c>
      <c r="F133" t="s">
        <v>186</v>
      </c>
      <c r="G133">
        <v>0</v>
      </c>
      <c r="H133">
        <v>0</v>
      </c>
      <c r="I133" t="s">
        <v>6</v>
      </c>
      <c r="J133">
        <v>0</v>
      </c>
      <c r="K133">
        <v>0</v>
      </c>
      <c r="L133" t="s">
        <v>6</v>
      </c>
      <c r="M133" t="s">
        <v>6</v>
      </c>
      <c r="N133">
        <v>0</v>
      </c>
      <c r="O133">
        <v>0</v>
      </c>
    </row>
    <row r="134" spans="1:15" x14ac:dyDescent="0.2">
      <c r="A134">
        <v>70</v>
      </c>
      <c r="B134">
        <v>1</v>
      </c>
      <c r="D134">
        <v>1</v>
      </c>
      <c r="E134" t="s">
        <v>187</v>
      </c>
      <c r="F134" t="s">
        <v>188</v>
      </c>
      <c r="G134">
        <v>0.9</v>
      </c>
      <c r="H134">
        <v>1</v>
      </c>
      <c r="I134" t="s">
        <v>189</v>
      </c>
      <c r="J134">
        <v>0</v>
      </c>
      <c r="K134">
        <v>0</v>
      </c>
      <c r="L134" t="s">
        <v>6</v>
      </c>
      <c r="M134" t="s">
        <v>6</v>
      </c>
      <c r="N134">
        <v>0</v>
      </c>
      <c r="O134">
        <v>0.9</v>
      </c>
    </row>
    <row r="135" spans="1:15" x14ac:dyDescent="0.2">
      <c r="A135">
        <v>70</v>
      </c>
      <c r="B135">
        <v>1</v>
      </c>
      <c r="D135">
        <v>2</v>
      </c>
      <c r="E135" t="s">
        <v>190</v>
      </c>
      <c r="F135" t="s">
        <v>191</v>
      </c>
      <c r="G135">
        <v>0.85</v>
      </c>
      <c r="H135">
        <v>1</v>
      </c>
      <c r="I135" t="s">
        <v>192</v>
      </c>
      <c r="J135">
        <v>0</v>
      </c>
      <c r="K135">
        <v>0</v>
      </c>
      <c r="L135" t="s">
        <v>6</v>
      </c>
      <c r="M135" t="s">
        <v>6</v>
      </c>
      <c r="N135">
        <v>0</v>
      </c>
      <c r="O135">
        <v>0.85</v>
      </c>
    </row>
    <row r="136" spans="1:15" x14ac:dyDescent="0.2">
      <c r="A136">
        <v>70</v>
      </c>
      <c r="B136">
        <v>1</v>
      </c>
      <c r="D136">
        <v>3</v>
      </c>
      <c r="E136" t="s">
        <v>193</v>
      </c>
      <c r="F136" t="s">
        <v>194</v>
      </c>
      <c r="G136">
        <v>1</v>
      </c>
      <c r="H136">
        <v>0.85</v>
      </c>
      <c r="I136" t="s">
        <v>195</v>
      </c>
      <c r="J136">
        <v>0</v>
      </c>
      <c r="K136">
        <v>0</v>
      </c>
      <c r="L136" t="s">
        <v>6</v>
      </c>
      <c r="M136" t="s">
        <v>6</v>
      </c>
      <c r="N136">
        <v>0</v>
      </c>
      <c r="O136">
        <v>1</v>
      </c>
    </row>
    <row r="137" spans="1:15" x14ac:dyDescent="0.2">
      <c r="A137">
        <v>70</v>
      </c>
      <c r="B137">
        <v>1</v>
      </c>
      <c r="D137">
        <v>4</v>
      </c>
      <c r="E137" t="s">
        <v>196</v>
      </c>
      <c r="F137" t="s">
        <v>197</v>
      </c>
      <c r="G137">
        <v>1</v>
      </c>
      <c r="H137">
        <v>0</v>
      </c>
      <c r="I137" t="s">
        <v>6</v>
      </c>
      <c r="J137">
        <v>0</v>
      </c>
      <c r="K137">
        <v>0</v>
      </c>
      <c r="L137" t="s">
        <v>6</v>
      </c>
      <c r="M137" t="s">
        <v>6</v>
      </c>
      <c r="N137">
        <v>0</v>
      </c>
      <c r="O137">
        <v>1</v>
      </c>
    </row>
    <row r="138" spans="1:15" x14ac:dyDescent="0.2">
      <c r="A138">
        <v>70</v>
      </c>
      <c r="B138">
        <v>1</v>
      </c>
      <c r="D138">
        <v>5</v>
      </c>
      <c r="E138" t="s">
        <v>198</v>
      </c>
      <c r="F138" t="s">
        <v>199</v>
      </c>
      <c r="G138">
        <v>1</v>
      </c>
      <c r="H138">
        <v>0.8</v>
      </c>
      <c r="I138" t="s">
        <v>200</v>
      </c>
      <c r="J138">
        <v>0</v>
      </c>
      <c r="K138">
        <v>0</v>
      </c>
      <c r="L138" t="s">
        <v>6</v>
      </c>
      <c r="M138" t="s">
        <v>6</v>
      </c>
      <c r="N138">
        <v>0</v>
      </c>
      <c r="O138">
        <v>1</v>
      </c>
    </row>
    <row r="139" spans="1:15" x14ac:dyDescent="0.2">
      <c r="A139">
        <v>70</v>
      </c>
      <c r="B139">
        <v>1</v>
      </c>
      <c r="D139">
        <v>6</v>
      </c>
      <c r="E139" t="s">
        <v>201</v>
      </c>
      <c r="F139" t="s">
        <v>202</v>
      </c>
      <c r="G139">
        <v>0.85</v>
      </c>
      <c r="H139">
        <v>0</v>
      </c>
      <c r="I139" t="s">
        <v>6</v>
      </c>
      <c r="J139">
        <v>0</v>
      </c>
      <c r="K139">
        <v>0</v>
      </c>
      <c r="L139" t="s">
        <v>6</v>
      </c>
      <c r="M139" t="s">
        <v>6</v>
      </c>
      <c r="N139">
        <v>0</v>
      </c>
      <c r="O139">
        <v>0.85</v>
      </c>
    </row>
    <row r="140" spans="1:15" x14ac:dyDescent="0.2">
      <c r="A140">
        <v>70</v>
      </c>
      <c r="B140">
        <v>1</v>
      </c>
      <c r="D140">
        <v>7</v>
      </c>
      <c r="E140" t="s">
        <v>203</v>
      </c>
      <c r="F140" t="s">
        <v>204</v>
      </c>
      <c r="G140">
        <v>0.8</v>
      </c>
      <c r="H140">
        <v>0</v>
      </c>
      <c r="I140" t="s">
        <v>6</v>
      </c>
      <c r="J140">
        <v>0</v>
      </c>
      <c r="K140">
        <v>0</v>
      </c>
      <c r="L140" t="s">
        <v>6</v>
      </c>
      <c r="M140" t="s">
        <v>6</v>
      </c>
      <c r="N140">
        <v>0</v>
      </c>
      <c r="O140">
        <v>0.8</v>
      </c>
    </row>
    <row r="141" spans="1:15" x14ac:dyDescent="0.2">
      <c r="A141">
        <v>70</v>
      </c>
      <c r="B141">
        <v>1</v>
      </c>
      <c r="D141">
        <v>8</v>
      </c>
      <c r="E141" t="s">
        <v>205</v>
      </c>
      <c r="F141" t="s">
        <v>206</v>
      </c>
      <c r="G141">
        <v>0.94</v>
      </c>
      <c r="H141">
        <v>0</v>
      </c>
      <c r="I141" t="s">
        <v>6</v>
      </c>
      <c r="J141">
        <v>0</v>
      </c>
      <c r="K141">
        <v>0</v>
      </c>
      <c r="L141" t="s">
        <v>6</v>
      </c>
      <c r="M141" t="s">
        <v>6</v>
      </c>
      <c r="N141">
        <v>0</v>
      </c>
      <c r="O141">
        <v>0.94</v>
      </c>
    </row>
    <row r="142" spans="1:15" x14ac:dyDescent="0.2">
      <c r="A142">
        <v>70</v>
      </c>
      <c r="B142">
        <v>1</v>
      </c>
      <c r="D142">
        <v>9</v>
      </c>
      <c r="E142" t="s">
        <v>207</v>
      </c>
      <c r="F142" t="s">
        <v>208</v>
      </c>
      <c r="G142">
        <v>0.9</v>
      </c>
      <c r="H142">
        <v>0</v>
      </c>
      <c r="I142" t="s">
        <v>6</v>
      </c>
      <c r="J142">
        <v>0</v>
      </c>
      <c r="K142">
        <v>0</v>
      </c>
      <c r="L142" t="s">
        <v>6</v>
      </c>
      <c r="M142" t="s">
        <v>6</v>
      </c>
      <c r="N142">
        <v>0</v>
      </c>
      <c r="O142">
        <v>0.9</v>
      </c>
    </row>
    <row r="143" spans="1:15" x14ac:dyDescent="0.2">
      <c r="A143">
        <v>70</v>
      </c>
      <c r="B143">
        <v>1</v>
      </c>
      <c r="D143">
        <v>10</v>
      </c>
      <c r="E143" t="s">
        <v>209</v>
      </c>
      <c r="F143" t="s">
        <v>210</v>
      </c>
      <c r="G143">
        <v>0.6</v>
      </c>
      <c r="H143">
        <v>0</v>
      </c>
      <c r="I143" t="s">
        <v>6</v>
      </c>
      <c r="J143">
        <v>0</v>
      </c>
      <c r="K143">
        <v>0</v>
      </c>
      <c r="L143" t="s">
        <v>6</v>
      </c>
      <c r="M143" t="s">
        <v>6</v>
      </c>
      <c r="N143">
        <v>0</v>
      </c>
      <c r="O143">
        <v>0.6</v>
      </c>
    </row>
    <row r="144" spans="1:15" x14ac:dyDescent="0.2">
      <c r="A144">
        <v>70</v>
      </c>
      <c r="B144">
        <v>1</v>
      </c>
      <c r="D144">
        <v>11</v>
      </c>
      <c r="E144" t="s">
        <v>211</v>
      </c>
      <c r="F144" t="s">
        <v>212</v>
      </c>
      <c r="G144">
        <v>1.2</v>
      </c>
      <c r="H144">
        <v>0</v>
      </c>
      <c r="I144" t="s">
        <v>6</v>
      </c>
      <c r="J144">
        <v>0</v>
      </c>
      <c r="K144">
        <v>0</v>
      </c>
      <c r="L144" t="s">
        <v>6</v>
      </c>
      <c r="M144" t="s">
        <v>6</v>
      </c>
      <c r="N144">
        <v>0</v>
      </c>
      <c r="O144">
        <v>1.2</v>
      </c>
    </row>
    <row r="145" spans="1:34" x14ac:dyDescent="0.2">
      <c r="A145">
        <v>70</v>
      </c>
      <c r="B145">
        <v>1</v>
      </c>
      <c r="D145">
        <v>12</v>
      </c>
      <c r="E145" t="s">
        <v>213</v>
      </c>
      <c r="F145" t="s">
        <v>214</v>
      </c>
      <c r="G145">
        <v>0</v>
      </c>
      <c r="H145">
        <v>0</v>
      </c>
      <c r="I145" t="s">
        <v>6</v>
      </c>
      <c r="J145">
        <v>0</v>
      </c>
      <c r="K145">
        <v>0</v>
      </c>
      <c r="L145" t="s">
        <v>6</v>
      </c>
      <c r="M145" t="s">
        <v>6</v>
      </c>
      <c r="N145">
        <v>0</v>
      </c>
      <c r="O145">
        <v>0</v>
      </c>
    </row>
    <row r="146" spans="1:34" x14ac:dyDescent="0.2">
      <c r="A146">
        <v>70</v>
      </c>
      <c r="B146">
        <v>1</v>
      </c>
      <c r="D146">
        <v>13</v>
      </c>
      <c r="E146" t="s">
        <v>215</v>
      </c>
      <c r="F146" t="s">
        <v>216</v>
      </c>
      <c r="G146">
        <v>0.94</v>
      </c>
      <c r="H146">
        <v>0</v>
      </c>
      <c r="I146" t="s">
        <v>6</v>
      </c>
      <c r="J146">
        <v>0</v>
      </c>
      <c r="K146">
        <v>0</v>
      </c>
      <c r="L146" t="s">
        <v>6</v>
      </c>
      <c r="M146" t="s">
        <v>6</v>
      </c>
      <c r="N146">
        <v>0</v>
      </c>
      <c r="O146">
        <v>0.94</v>
      </c>
    </row>
    <row r="148" spans="1:34" x14ac:dyDescent="0.2">
      <c r="A148">
        <v>-1</v>
      </c>
    </row>
    <row r="150" spans="1:34" x14ac:dyDescent="0.2">
      <c r="A150" s="4">
        <v>75</v>
      </c>
      <c r="B150" s="4" t="s">
        <v>217</v>
      </c>
      <c r="C150" s="4">
        <v>2017</v>
      </c>
      <c r="D150" s="4">
        <v>4</v>
      </c>
      <c r="E150" s="4">
        <v>0</v>
      </c>
      <c r="F150" s="4">
        <v>0</v>
      </c>
      <c r="G150" s="4">
        <v>0</v>
      </c>
      <c r="H150" s="4">
        <v>1</v>
      </c>
      <c r="I150" s="4">
        <v>0</v>
      </c>
      <c r="J150" s="4">
        <v>1</v>
      </c>
      <c r="K150" s="4">
        <v>0</v>
      </c>
      <c r="L150" s="4">
        <v>0</v>
      </c>
      <c r="M150" s="4">
        <v>0</v>
      </c>
      <c r="N150" s="4">
        <v>16496956</v>
      </c>
      <c r="O150" s="4">
        <v>1</v>
      </c>
    </row>
    <row r="151" spans="1:34" x14ac:dyDescent="0.2">
      <c r="A151" s="4">
        <v>75</v>
      </c>
      <c r="B151" s="4" t="s">
        <v>218</v>
      </c>
      <c r="C151" s="4">
        <v>2017</v>
      </c>
      <c r="D151" s="4">
        <v>4</v>
      </c>
      <c r="E151" s="4">
        <v>0</v>
      </c>
      <c r="F151" s="4"/>
      <c r="G151" s="4">
        <v>0</v>
      </c>
      <c r="H151" s="4">
        <v>1</v>
      </c>
      <c r="I151" s="4">
        <v>0</v>
      </c>
      <c r="J151" s="4">
        <v>1</v>
      </c>
      <c r="K151" s="4">
        <v>0</v>
      </c>
      <c r="L151" s="4">
        <v>0</v>
      </c>
      <c r="M151" s="4">
        <v>1</v>
      </c>
      <c r="N151" s="4">
        <v>16497268</v>
      </c>
      <c r="O151" s="4">
        <v>2</v>
      </c>
    </row>
    <row r="152" spans="1:34" x14ac:dyDescent="0.2">
      <c r="A152" s="6">
        <v>3</v>
      </c>
      <c r="B152" s="6" t="s">
        <v>219</v>
      </c>
      <c r="C152" s="6">
        <v>6.57</v>
      </c>
      <c r="D152" s="6">
        <v>1</v>
      </c>
      <c r="E152" s="6">
        <v>1</v>
      </c>
      <c r="F152" s="6">
        <v>1</v>
      </c>
      <c r="G152" s="6">
        <v>1</v>
      </c>
      <c r="H152" s="6">
        <v>1</v>
      </c>
      <c r="I152" s="6">
        <v>1</v>
      </c>
      <c r="J152" s="6">
        <v>1</v>
      </c>
      <c r="K152" s="6">
        <v>1</v>
      </c>
      <c r="L152" s="6">
        <v>1</v>
      </c>
      <c r="M152" s="6">
        <v>6.57</v>
      </c>
      <c r="N152" s="6">
        <v>1</v>
      </c>
      <c r="O152" s="6">
        <v>1</v>
      </c>
      <c r="P152" s="6">
        <v>1</v>
      </c>
      <c r="Q152" s="6">
        <v>1</v>
      </c>
      <c r="R152" s="6">
        <v>1</v>
      </c>
      <c r="S152" s="6" t="s">
        <v>6</v>
      </c>
      <c r="T152" s="6" t="s">
        <v>6</v>
      </c>
      <c r="U152" s="6" t="s">
        <v>6</v>
      </c>
      <c r="V152" s="6" t="s">
        <v>6</v>
      </c>
      <c r="W152" s="6" t="s">
        <v>6</v>
      </c>
      <c r="X152" s="6" t="s">
        <v>6</v>
      </c>
      <c r="Y152" s="6" t="s">
        <v>6</v>
      </c>
      <c r="Z152" s="6" t="s">
        <v>6</v>
      </c>
      <c r="AA152" s="6" t="s">
        <v>6</v>
      </c>
      <c r="AB152" s="6" t="s">
        <v>6</v>
      </c>
      <c r="AC152" s="6" t="s">
        <v>6</v>
      </c>
      <c r="AD152" s="6" t="s">
        <v>6</v>
      </c>
      <c r="AE152" s="6" t="s">
        <v>6</v>
      </c>
      <c r="AF152" s="6" t="s">
        <v>6</v>
      </c>
      <c r="AG152" s="6" t="s">
        <v>6</v>
      </c>
      <c r="AH152" s="6" t="s">
        <v>6</v>
      </c>
    </row>
    <row r="156" spans="1:34" x14ac:dyDescent="0.2">
      <c r="A156">
        <v>65</v>
      </c>
      <c r="C156">
        <v>1</v>
      </c>
      <c r="D156">
        <v>0</v>
      </c>
      <c r="E15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220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16496956</v>
      </c>
      <c r="E14" s="1">
        <v>16497268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(Source!F74)/1000</f>
        <v>518.05724999999995</v>
      </c>
      <c r="F16" s="8">
        <f>(Source!F75)/1000</f>
        <v>0</v>
      </c>
      <c r="G16" s="8">
        <f>(Source!F66)/1000</f>
        <v>0</v>
      </c>
      <c r="H16" s="8">
        <f>(Source!F76)/1000+(Source!F77)/1000</f>
        <v>0</v>
      </c>
      <c r="I16" s="8">
        <f>E16+F16+G16+H16</f>
        <v>518.05724999999995</v>
      </c>
      <c r="J16" s="8">
        <f>(Source!F72)/1000</f>
        <v>7.4314600000000004</v>
      </c>
      <c r="T16" s="9">
        <f>(Source!P74)/1000</f>
        <v>976.05193999999995</v>
      </c>
      <c r="U16" s="9">
        <f>(Source!P75)/1000</f>
        <v>0</v>
      </c>
      <c r="V16" s="9">
        <f>(Source!P66)/1000</f>
        <v>0</v>
      </c>
      <c r="W16" s="9">
        <f>(Source!P76)/1000+(Source!P77)/1000</f>
        <v>0</v>
      </c>
      <c r="X16" s="9">
        <f>T16+U16+V16+W16</f>
        <v>976.05193999999995</v>
      </c>
      <c r="Y16" s="9">
        <f>(Source!P72)/1000</f>
        <v>48.824690000000004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508165.03</v>
      </c>
      <c r="AU16" s="8">
        <v>499848.97</v>
      </c>
      <c r="AV16" s="8">
        <v>0</v>
      </c>
      <c r="AW16" s="8">
        <v>0</v>
      </c>
      <c r="AX16" s="8">
        <v>0</v>
      </c>
      <c r="AY16" s="8">
        <v>884.6</v>
      </c>
      <c r="AZ16" s="8">
        <v>266.58</v>
      </c>
      <c r="BA16" s="8">
        <v>7431.46</v>
      </c>
      <c r="BB16" s="8">
        <v>518057.25</v>
      </c>
      <c r="BC16" s="8">
        <v>0</v>
      </c>
      <c r="BD16" s="8">
        <v>0</v>
      </c>
      <c r="BE16" s="8">
        <v>0</v>
      </c>
      <c r="BF16" s="8">
        <v>862.14201600000001</v>
      </c>
      <c r="BG16" s="8">
        <v>20.715200000000003</v>
      </c>
      <c r="BH16" s="8">
        <v>0</v>
      </c>
      <c r="BI16" s="8">
        <v>6467.1</v>
      </c>
      <c r="BJ16" s="8">
        <v>3340.58</v>
      </c>
      <c r="BK16" s="8">
        <v>611307.56000000006</v>
      </c>
      <c r="BR16" s="9">
        <v>897756.12</v>
      </c>
      <c r="BS16" s="9">
        <v>843119.63</v>
      </c>
      <c r="BT16" s="9">
        <v>0</v>
      </c>
      <c r="BU16" s="9">
        <v>0</v>
      </c>
      <c r="BV16" s="9">
        <v>0</v>
      </c>
      <c r="BW16" s="9">
        <v>5811.8</v>
      </c>
      <c r="BX16" s="9">
        <v>1751.44</v>
      </c>
      <c r="BY16" s="9">
        <v>48824.69</v>
      </c>
      <c r="BZ16" s="9">
        <v>976051.94</v>
      </c>
      <c r="CA16" s="9">
        <v>0</v>
      </c>
      <c r="CB16" s="9">
        <v>0</v>
      </c>
      <c r="CC16" s="9">
        <v>0</v>
      </c>
      <c r="CD16" s="9">
        <v>862.14201600000001</v>
      </c>
      <c r="CE16" s="9">
        <v>20.715200000000003</v>
      </c>
      <c r="CF16" s="9">
        <v>0</v>
      </c>
      <c r="CG16" s="9">
        <v>50154.19</v>
      </c>
      <c r="CH16" s="9">
        <v>27586.2</v>
      </c>
      <c r="CI16" s="9">
        <v>1151741.29</v>
      </c>
    </row>
    <row r="18" spans="1:40" x14ac:dyDescent="0.2">
      <c r="A18">
        <v>51</v>
      </c>
      <c r="E18" s="10">
        <f>SUMIF(A16:A17,3,E16:E17)</f>
        <v>518.05724999999995</v>
      </c>
      <c r="F18" s="10">
        <f>SUMIF(A16:A17,3,F16:F17)</f>
        <v>0</v>
      </c>
      <c r="G18" s="10">
        <f>SUMIF(A16:A17,3,G16:G17)</f>
        <v>0</v>
      </c>
      <c r="H18" s="10">
        <f>SUMIF(A16:A17,3,H16:H17)</f>
        <v>0</v>
      </c>
      <c r="I18" s="10">
        <f>SUMIF(A16:A17,3,I16:I17)</f>
        <v>518.05724999999995</v>
      </c>
      <c r="J18" s="10">
        <f>SUMIF(A16:A17,3,J16:J17)</f>
        <v>7.4314600000000004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976.05193999999995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976.05193999999995</v>
      </c>
      <c r="Y18" s="3">
        <f>SUMIF(A16:A17,3,Y16:Y17)</f>
        <v>48.824690000000004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508165.03</v>
      </c>
      <c r="G20" s="5" t="s">
        <v>99</v>
      </c>
      <c r="H20" s="5" t="s">
        <v>100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897756.12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499848.97</v>
      </c>
      <c r="G21" s="5" t="s">
        <v>101</v>
      </c>
      <c r="H21" s="5" t="s">
        <v>102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843119.63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103</v>
      </c>
      <c r="H22" s="5" t="s">
        <v>104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499848.97</v>
      </c>
      <c r="G23" s="5" t="s">
        <v>105</v>
      </c>
      <c r="H23" s="5" t="s">
        <v>106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843119.63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499848.97</v>
      </c>
      <c r="G24" s="5" t="s">
        <v>107</v>
      </c>
      <c r="H24" s="5" t="s">
        <v>108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843119.63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109</v>
      </c>
      <c r="H25" s="5" t="s">
        <v>110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499848.97</v>
      </c>
      <c r="G26" s="5" t="s">
        <v>111</v>
      </c>
      <c r="H26" s="5" t="s">
        <v>112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843119.63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113</v>
      </c>
      <c r="H27" s="5" t="s">
        <v>114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115</v>
      </c>
      <c r="H28" s="5" t="s">
        <v>116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117</v>
      </c>
      <c r="H29" s="5" t="s">
        <v>118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884.6</v>
      </c>
      <c r="G30" s="5" t="s">
        <v>119</v>
      </c>
      <c r="H30" s="5" t="s">
        <v>120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5811.8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121</v>
      </c>
      <c r="H31" s="5" t="s">
        <v>122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266.58</v>
      </c>
      <c r="G32" s="5" t="s">
        <v>123</v>
      </c>
      <c r="H32" s="5" t="s">
        <v>124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1751.44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7431.46</v>
      </c>
      <c r="G33" s="5" t="s">
        <v>125</v>
      </c>
      <c r="H33" s="5" t="s">
        <v>126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48824.69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127</v>
      </c>
      <c r="H34" s="5" t="s">
        <v>128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518057.25</v>
      </c>
      <c r="G35" s="5" t="s">
        <v>129</v>
      </c>
      <c r="H35" s="5" t="s">
        <v>130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976051.94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131</v>
      </c>
      <c r="H36" s="5" t="s">
        <v>132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133</v>
      </c>
      <c r="H37" s="5" t="s">
        <v>134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135</v>
      </c>
      <c r="H38" s="5" t="s">
        <v>136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137</v>
      </c>
      <c r="H39" s="5" t="s">
        <v>138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862.14201600000001</v>
      </c>
      <c r="G40" s="5" t="s">
        <v>139</v>
      </c>
      <c r="H40" s="5" t="s">
        <v>140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862.14201600000001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20.715200000000003</v>
      </c>
      <c r="G41" s="5" t="s">
        <v>141</v>
      </c>
      <c r="H41" s="5" t="s">
        <v>142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20.715200000000003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143</v>
      </c>
      <c r="H42" s="5" t="s">
        <v>144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6467.1</v>
      </c>
      <c r="G43" s="5" t="s">
        <v>145</v>
      </c>
      <c r="H43" s="5" t="s">
        <v>146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50154.19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3340.58</v>
      </c>
      <c r="G44" s="5" t="s">
        <v>147</v>
      </c>
      <c r="H44" s="5" t="s">
        <v>148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27586.2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0</v>
      </c>
      <c r="F45" s="5">
        <v>518057.25</v>
      </c>
      <c r="G45" s="5" t="s">
        <v>149</v>
      </c>
      <c r="H45" s="5" t="s">
        <v>150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976051.94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518057.25</v>
      </c>
      <c r="G46" s="5" t="s">
        <v>151</v>
      </c>
      <c r="H46" s="5" t="s">
        <v>149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976051.94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93250.31</v>
      </c>
      <c r="G47" s="5" t="s">
        <v>152</v>
      </c>
      <c r="H47" s="5" t="s">
        <v>153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175689.35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224</v>
      </c>
      <c r="F48" s="5">
        <v>611307.56000000006</v>
      </c>
      <c r="G48" s="5" t="s">
        <v>154</v>
      </c>
      <c r="H48" s="5" t="s">
        <v>155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1151741.29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217</v>
      </c>
      <c r="C53" s="4">
        <v>2017</v>
      </c>
      <c r="D53" s="4">
        <v>4</v>
      </c>
      <c r="E53" s="4">
        <v>0</v>
      </c>
      <c r="F53" s="4">
        <v>0</v>
      </c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16496956</v>
      </c>
      <c r="O53" s="4">
        <v>1</v>
      </c>
    </row>
    <row r="54" spans="1:34" x14ac:dyDescent="0.2">
      <c r="A54" s="4">
        <v>75</v>
      </c>
      <c r="B54" s="4" t="s">
        <v>218</v>
      </c>
      <c r="C54" s="4">
        <v>2017</v>
      </c>
      <c r="D54" s="4">
        <v>4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16497268</v>
      </c>
      <c r="O54" s="4">
        <v>2</v>
      </c>
    </row>
    <row r="55" spans="1:34" x14ac:dyDescent="0.2">
      <c r="A55" s="6">
        <v>3</v>
      </c>
      <c r="B55" s="6" t="s">
        <v>219</v>
      </c>
      <c r="C55" s="6">
        <v>6.57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</v>
      </c>
      <c r="L55" s="6">
        <v>1</v>
      </c>
      <c r="M55" s="6">
        <v>6.57</v>
      </c>
      <c r="N55" s="6">
        <v>1</v>
      </c>
      <c r="O55" s="6">
        <v>1</v>
      </c>
      <c r="P55" s="6">
        <v>1</v>
      </c>
      <c r="Q55" s="6">
        <v>1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7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16496956</v>
      </c>
      <c r="C1">
        <v>16497018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221</v>
      </c>
      <c r="J1" t="s">
        <v>6</v>
      </c>
      <c r="K1" t="s">
        <v>222</v>
      </c>
      <c r="L1">
        <v>1191</v>
      </c>
      <c r="N1">
        <v>1013</v>
      </c>
      <c r="O1" t="s">
        <v>223</v>
      </c>
      <c r="P1" t="s">
        <v>223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16497022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304.07731200000001</v>
      </c>
      <c r="CY1">
        <f>AD1</f>
        <v>8.09</v>
      </c>
      <c r="CZ1">
        <f>AH1</f>
        <v>8.09</v>
      </c>
      <c r="DA1">
        <f>AL1</f>
        <v>1</v>
      </c>
      <c r="DB1">
        <v>0</v>
      </c>
    </row>
    <row r="2" spans="1:106" x14ac:dyDescent="0.2">
      <c r="A2">
        <f>ROW(Source!A24)</f>
        <v>24</v>
      </c>
      <c r="B2">
        <v>16496956</v>
      </c>
      <c r="C2">
        <v>16497018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224</v>
      </c>
      <c r="J2" t="s">
        <v>6</v>
      </c>
      <c r="K2" t="s">
        <v>225</v>
      </c>
      <c r="L2">
        <v>1191</v>
      </c>
      <c r="N2">
        <v>1013</v>
      </c>
      <c r="O2" t="s">
        <v>223</v>
      </c>
      <c r="P2" t="s">
        <v>223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16497023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12.483072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16496956</v>
      </c>
      <c r="C3">
        <v>16497018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226</v>
      </c>
      <c r="J3" t="s">
        <v>227</v>
      </c>
      <c r="K3" t="s">
        <v>228</v>
      </c>
      <c r="L3">
        <v>1368</v>
      </c>
      <c r="N3">
        <v>1011</v>
      </c>
      <c r="O3" t="s">
        <v>229</v>
      </c>
      <c r="P3" t="s">
        <v>229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16497024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12.483072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ROW(Source!A25)</f>
        <v>25</v>
      </c>
      <c r="B4">
        <v>16497268</v>
      </c>
      <c r="C4">
        <v>16497018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221</v>
      </c>
      <c r="J4" t="s">
        <v>6</v>
      </c>
      <c r="K4" t="s">
        <v>222</v>
      </c>
      <c r="L4">
        <v>1191</v>
      </c>
      <c r="N4">
        <v>1013</v>
      </c>
      <c r="O4" t="s">
        <v>223</v>
      </c>
      <c r="P4" t="s">
        <v>223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53.15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6.57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16497022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304.07731200000001</v>
      </c>
      <c r="CY4">
        <f>AD4</f>
        <v>53.15</v>
      </c>
      <c r="CZ4">
        <f>AH4</f>
        <v>8.09</v>
      </c>
      <c r="DA4">
        <f>AL4</f>
        <v>6.57</v>
      </c>
      <c r="DB4">
        <v>0</v>
      </c>
    </row>
    <row r="5" spans="1:106" x14ac:dyDescent="0.2">
      <c r="A5">
        <f>ROW(Source!A25)</f>
        <v>25</v>
      </c>
      <c r="B5">
        <v>16497268</v>
      </c>
      <c r="C5">
        <v>16497018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224</v>
      </c>
      <c r="J5" t="s">
        <v>6</v>
      </c>
      <c r="K5" t="s">
        <v>225</v>
      </c>
      <c r="L5">
        <v>1191</v>
      </c>
      <c r="N5">
        <v>1013</v>
      </c>
      <c r="O5" t="s">
        <v>223</v>
      </c>
      <c r="P5" t="s">
        <v>223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6.57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16497023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12.483072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">
      <c r="A6">
        <f>ROW(Source!A25)</f>
        <v>25</v>
      </c>
      <c r="B6">
        <v>16497268</v>
      </c>
      <c r="C6">
        <v>16497018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226</v>
      </c>
      <c r="J6" t="s">
        <v>227</v>
      </c>
      <c r="K6" t="s">
        <v>228</v>
      </c>
      <c r="L6">
        <v>1368</v>
      </c>
      <c r="N6">
        <v>1011</v>
      </c>
      <c r="O6" t="s">
        <v>229</v>
      </c>
      <c r="P6" t="s">
        <v>229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205.38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6.57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16497024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12.483072</v>
      </c>
      <c r="CY6">
        <f>AB6</f>
        <v>205.38</v>
      </c>
      <c r="CZ6">
        <f>AF6</f>
        <v>31.26</v>
      </c>
      <c r="DA6">
        <f>AJ6</f>
        <v>6.57</v>
      </c>
      <c r="DB6">
        <v>0</v>
      </c>
    </row>
    <row r="7" spans="1:106" x14ac:dyDescent="0.2">
      <c r="A7">
        <f>ROW(Source!A26)</f>
        <v>26</v>
      </c>
      <c r="B7">
        <v>16496956</v>
      </c>
      <c r="C7">
        <v>16497025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230</v>
      </c>
      <c r="J7" t="s">
        <v>6</v>
      </c>
      <c r="K7" t="s">
        <v>231</v>
      </c>
      <c r="L7">
        <v>1191</v>
      </c>
      <c r="N7">
        <v>1013</v>
      </c>
      <c r="O7" t="s">
        <v>223</v>
      </c>
      <c r="P7" t="s">
        <v>223</v>
      </c>
      <c r="Q7">
        <v>1</v>
      </c>
      <c r="W7">
        <v>0</v>
      </c>
      <c r="X7">
        <v>-784637506</v>
      </c>
      <c r="Y7">
        <v>149.16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6</v>
      </c>
      <c r="AT7">
        <v>149.16</v>
      </c>
      <c r="AU7" t="s">
        <v>6</v>
      </c>
      <c r="AV7">
        <v>1</v>
      </c>
      <c r="AW7">
        <v>2</v>
      </c>
      <c r="AX7">
        <v>16497038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240.565248</v>
      </c>
      <c r="CY7">
        <f>AD7</f>
        <v>8.74</v>
      </c>
      <c r="CZ7">
        <f>AH7</f>
        <v>8.74</v>
      </c>
      <c r="DA7">
        <f>AL7</f>
        <v>1</v>
      </c>
      <c r="DB7">
        <v>0</v>
      </c>
    </row>
    <row r="8" spans="1:106" x14ac:dyDescent="0.2">
      <c r="A8">
        <f>ROW(Source!A26)</f>
        <v>26</v>
      </c>
      <c r="B8">
        <v>16496956</v>
      </c>
      <c r="C8">
        <v>16497025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224</v>
      </c>
      <c r="J8" t="s">
        <v>6</v>
      </c>
      <c r="K8" t="s">
        <v>225</v>
      </c>
      <c r="L8">
        <v>1191</v>
      </c>
      <c r="N8">
        <v>1013</v>
      </c>
      <c r="O8" t="s">
        <v>223</v>
      </c>
      <c r="P8" t="s">
        <v>223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16497039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6.8221440000000007</v>
      </c>
      <c r="CY8">
        <f>AD8</f>
        <v>0</v>
      </c>
      <c r="CZ8">
        <f>AH8</f>
        <v>0</v>
      </c>
      <c r="DA8">
        <f>AL8</f>
        <v>1</v>
      </c>
      <c r="DB8">
        <v>0</v>
      </c>
    </row>
    <row r="9" spans="1:106" x14ac:dyDescent="0.2">
      <c r="A9">
        <f>ROW(Source!A26)</f>
        <v>26</v>
      </c>
      <c r="B9">
        <v>16496956</v>
      </c>
      <c r="C9">
        <v>16497025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226</v>
      </c>
      <c r="J9" t="s">
        <v>227</v>
      </c>
      <c r="K9" t="s">
        <v>228</v>
      </c>
      <c r="L9">
        <v>1368</v>
      </c>
      <c r="N9">
        <v>1011</v>
      </c>
      <c r="O9" t="s">
        <v>229</v>
      </c>
      <c r="P9" t="s">
        <v>229</v>
      </c>
      <c r="Q9">
        <v>1</v>
      </c>
      <c r="W9">
        <v>0</v>
      </c>
      <c r="X9">
        <v>1188625873</v>
      </c>
      <c r="Y9">
        <v>0.66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0.66</v>
      </c>
      <c r="AU9" t="s">
        <v>6</v>
      </c>
      <c r="AV9">
        <v>0</v>
      </c>
      <c r="AW9">
        <v>2</v>
      </c>
      <c r="AX9">
        <v>16497040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1.0644480000000001</v>
      </c>
      <c r="CY9">
        <f>AB9</f>
        <v>31.26</v>
      </c>
      <c r="CZ9">
        <f>AF9</f>
        <v>31.26</v>
      </c>
      <c r="DA9">
        <f>AJ9</f>
        <v>1</v>
      </c>
      <c r="DB9">
        <v>0</v>
      </c>
    </row>
    <row r="10" spans="1:106" x14ac:dyDescent="0.2">
      <c r="A10">
        <f>ROW(Source!A26)</f>
        <v>26</v>
      </c>
      <c r="B10">
        <v>16496956</v>
      </c>
      <c r="C10">
        <v>16497025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232</v>
      </c>
      <c r="J10" t="s">
        <v>233</v>
      </c>
      <c r="K10" t="s">
        <v>234</v>
      </c>
      <c r="L10">
        <v>1368</v>
      </c>
      <c r="N10">
        <v>1011</v>
      </c>
      <c r="O10" t="s">
        <v>229</v>
      </c>
      <c r="P10" t="s">
        <v>229</v>
      </c>
      <c r="Q10">
        <v>1</v>
      </c>
      <c r="W10">
        <v>0</v>
      </c>
      <c r="X10">
        <v>1372534845</v>
      </c>
      <c r="Y10">
        <v>3.57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3.57</v>
      </c>
      <c r="AU10" t="s">
        <v>6</v>
      </c>
      <c r="AV10">
        <v>0</v>
      </c>
      <c r="AW10">
        <v>2</v>
      </c>
      <c r="AX10">
        <v>16497041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5.7576960000000001</v>
      </c>
      <c r="CY10">
        <f>AB10</f>
        <v>65.709999999999994</v>
      </c>
      <c r="CZ10">
        <f>AF10</f>
        <v>65.709999999999994</v>
      </c>
      <c r="DA10">
        <f>AJ10</f>
        <v>1</v>
      </c>
      <c r="DB10">
        <v>0</v>
      </c>
    </row>
    <row r="11" spans="1:106" x14ac:dyDescent="0.2">
      <c r="A11">
        <f>ROW(Source!A26)</f>
        <v>26</v>
      </c>
      <c r="B11">
        <v>16496956</v>
      </c>
      <c r="C11">
        <v>16497025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235</v>
      </c>
      <c r="J11" t="s">
        <v>236</v>
      </c>
      <c r="K11" t="s">
        <v>237</v>
      </c>
      <c r="L11">
        <v>1301</v>
      </c>
      <c r="N11">
        <v>1003</v>
      </c>
      <c r="O11" t="s">
        <v>43</v>
      </c>
      <c r="P11" t="s">
        <v>43</v>
      </c>
      <c r="Q11">
        <v>1</v>
      </c>
      <c r="W11">
        <v>0</v>
      </c>
      <c r="X11">
        <v>751777312</v>
      </c>
      <c r="Y11">
        <v>253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253</v>
      </c>
      <c r="AU11" t="s">
        <v>6</v>
      </c>
      <c r="AV11">
        <v>0</v>
      </c>
      <c r="AW11">
        <v>2</v>
      </c>
      <c r="AX11">
        <v>16497042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408.03840000000002</v>
      </c>
      <c r="CY11">
        <f t="shared" ref="CY11:CY17" si="0">AA11</f>
        <v>6.38</v>
      </c>
      <c r="CZ11">
        <f t="shared" ref="CZ11:CZ17" si="1">AE11</f>
        <v>6.38</v>
      </c>
      <c r="DA11">
        <f t="shared" ref="DA11:DA17" si="2">AI11</f>
        <v>1</v>
      </c>
      <c r="DB11">
        <v>0</v>
      </c>
    </row>
    <row r="12" spans="1:106" x14ac:dyDescent="0.2">
      <c r="A12">
        <f>ROW(Source!A26)</f>
        <v>26</v>
      </c>
      <c r="B12">
        <v>16496956</v>
      </c>
      <c r="C12">
        <v>16497025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238</v>
      </c>
      <c r="J12" t="s">
        <v>239</v>
      </c>
      <c r="K12" t="s">
        <v>240</v>
      </c>
      <c r="L12">
        <v>1301</v>
      </c>
      <c r="N12">
        <v>1003</v>
      </c>
      <c r="O12" t="s">
        <v>43</v>
      </c>
      <c r="P12" t="s">
        <v>43</v>
      </c>
      <c r="Q12">
        <v>1</v>
      </c>
      <c r="W12">
        <v>0</v>
      </c>
      <c r="X12">
        <v>1744203244</v>
      </c>
      <c r="Y12">
        <v>59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59</v>
      </c>
      <c r="AU12" t="s">
        <v>6</v>
      </c>
      <c r="AV12">
        <v>0</v>
      </c>
      <c r="AW12">
        <v>2</v>
      </c>
      <c r="AX12">
        <v>16497043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95.155200000000008</v>
      </c>
      <c r="CY12">
        <f t="shared" si="0"/>
        <v>7.95</v>
      </c>
      <c r="CZ12">
        <f t="shared" si="1"/>
        <v>7.95</v>
      </c>
      <c r="DA12">
        <f t="shared" si="2"/>
        <v>1</v>
      </c>
      <c r="DB12">
        <v>0</v>
      </c>
    </row>
    <row r="13" spans="1:106" x14ac:dyDescent="0.2">
      <c r="A13">
        <f>ROW(Source!A26)</f>
        <v>26</v>
      </c>
      <c r="B13">
        <v>16496956</v>
      </c>
      <c r="C13">
        <v>16497025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241</v>
      </c>
      <c r="J13" t="s">
        <v>242</v>
      </c>
      <c r="K13" t="s">
        <v>243</v>
      </c>
      <c r="L13">
        <v>1302</v>
      </c>
      <c r="N13">
        <v>1003</v>
      </c>
      <c r="O13" t="s">
        <v>244</v>
      </c>
      <c r="P13" t="s">
        <v>244</v>
      </c>
      <c r="Q13">
        <v>10</v>
      </c>
      <c r="W13">
        <v>0</v>
      </c>
      <c r="X13">
        <v>-405326455</v>
      </c>
      <c r="Y13">
        <v>15.9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15.9</v>
      </c>
      <c r="AU13" t="s">
        <v>6</v>
      </c>
      <c r="AV13">
        <v>0</v>
      </c>
      <c r="AW13">
        <v>2</v>
      </c>
      <c r="AX13">
        <v>16497044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25.643520000000002</v>
      </c>
      <c r="CY13">
        <f t="shared" si="0"/>
        <v>64.099999999999994</v>
      </c>
      <c r="CZ13">
        <f t="shared" si="1"/>
        <v>64.099999999999994</v>
      </c>
      <c r="DA13">
        <f t="shared" si="2"/>
        <v>1</v>
      </c>
      <c r="DB13">
        <v>0</v>
      </c>
    </row>
    <row r="14" spans="1:106" x14ac:dyDescent="0.2">
      <c r="A14">
        <f>ROW(Source!A26)</f>
        <v>26</v>
      </c>
      <c r="B14">
        <v>16496956</v>
      </c>
      <c r="C14">
        <v>16497025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245</v>
      </c>
      <c r="J14" t="s">
        <v>246</v>
      </c>
      <c r="K14" t="s">
        <v>247</v>
      </c>
      <c r="L14">
        <v>1358</v>
      </c>
      <c r="N14">
        <v>1010</v>
      </c>
      <c r="O14" t="s">
        <v>248</v>
      </c>
      <c r="P14" t="s">
        <v>248</v>
      </c>
      <c r="Q14">
        <v>10</v>
      </c>
      <c r="W14">
        <v>0</v>
      </c>
      <c r="X14">
        <v>-858120743</v>
      </c>
      <c r="Y14">
        <v>41.2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41.2</v>
      </c>
      <c r="AU14" t="s">
        <v>6</v>
      </c>
      <c r="AV14">
        <v>0</v>
      </c>
      <c r="AW14">
        <v>2</v>
      </c>
      <c r="AX14">
        <v>16497045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66.447360000000003</v>
      </c>
      <c r="CY14">
        <f t="shared" si="0"/>
        <v>7.03</v>
      </c>
      <c r="CZ14">
        <f t="shared" si="1"/>
        <v>7.03</v>
      </c>
      <c r="DA14">
        <f t="shared" si="2"/>
        <v>1</v>
      </c>
      <c r="DB14">
        <v>0</v>
      </c>
    </row>
    <row r="15" spans="1:106" x14ac:dyDescent="0.2">
      <c r="A15">
        <f>ROW(Source!A26)</f>
        <v>26</v>
      </c>
      <c r="B15">
        <v>16496956</v>
      </c>
      <c r="C15">
        <v>16497025</v>
      </c>
      <c r="D15">
        <v>15197780</v>
      </c>
      <c r="E15">
        <v>1</v>
      </c>
      <c r="F15">
        <v>1</v>
      </c>
      <c r="G15">
        <v>1</v>
      </c>
      <c r="H15">
        <v>3</v>
      </c>
      <c r="I15" t="s">
        <v>249</v>
      </c>
      <c r="J15" t="s">
        <v>250</v>
      </c>
      <c r="K15" t="s">
        <v>251</v>
      </c>
      <c r="L15">
        <v>1355</v>
      </c>
      <c r="N15">
        <v>1010</v>
      </c>
      <c r="O15" t="s">
        <v>252</v>
      </c>
      <c r="P15" t="s">
        <v>252</v>
      </c>
      <c r="Q15">
        <v>100</v>
      </c>
      <c r="W15">
        <v>0</v>
      </c>
      <c r="X15">
        <v>1709713925</v>
      </c>
      <c r="Y15">
        <v>8</v>
      </c>
      <c r="AA15">
        <v>50</v>
      </c>
      <c r="AB15">
        <v>0</v>
      </c>
      <c r="AC15">
        <v>0</v>
      </c>
      <c r="AD15">
        <v>0</v>
      </c>
      <c r="AE15">
        <v>50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8</v>
      </c>
      <c r="AU15" t="s">
        <v>6</v>
      </c>
      <c r="AV15">
        <v>0</v>
      </c>
      <c r="AW15">
        <v>2</v>
      </c>
      <c r="AX15">
        <v>16497047</v>
      </c>
      <c r="AY15">
        <v>1</v>
      </c>
      <c r="AZ15">
        <v>0</v>
      </c>
      <c r="BA15">
        <v>16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12.9024</v>
      </c>
      <c r="CY15">
        <f t="shared" si="0"/>
        <v>50</v>
      </c>
      <c r="CZ15">
        <f t="shared" si="1"/>
        <v>50</v>
      </c>
      <c r="DA15">
        <f t="shared" si="2"/>
        <v>1</v>
      </c>
      <c r="DB15">
        <v>0</v>
      </c>
    </row>
    <row r="16" spans="1:106" x14ac:dyDescent="0.2">
      <c r="A16">
        <f>ROW(Source!A26)</f>
        <v>26</v>
      </c>
      <c r="B16">
        <v>16496956</v>
      </c>
      <c r="C16">
        <v>16497025</v>
      </c>
      <c r="D16">
        <v>15204239</v>
      </c>
      <c r="E16">
        <v>1</v>
      </c>
      <c r="F16">
        <v>1</v>
      </c>
      <c r="G16">
        <v>1</v>
      </c>
      <c r="H16">
        <v>3</v>
      </c>
      <c r="I16" t="s">
        <v>253</v>
      </c>
      <c r="J16" t="s">
        <v>254</v>
      </c>
      <c r="K16" t="s">
        <v>255</v>
      </c>
      <c r="L16">
        <v>1354</v>
      </c>
      <c r="N16">
        <v>1010</v>
      </c>
      <c r="O16" t="s">
        <v>256</v>
      </c>
      <c r="P16" t="s">
        <v>256</v>
      </c>
      <c r="Q16">
        <v>1</v>
      </c>
      <c r="W16">
        <v>0</v>
      </c>
      <c r="X16">
        <v>-1018551266</v>
      </c>
      <c r="Y16">
        <v>71</v>
      </c>
      <c r="AA16">
        <v>67</v>
      </c>
      <c r="AB16">
        <v>0</v>
      </c>
      <c r="AC16">
        <v>0</v>
      </c>
      <c r="AD16">
        <v>0</v>
      </c>
      <c r="AE16">
        <v>67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71</v>
      </c>
      <c r="AU16" t="s">
        <v>6</v>
      </c>
      <c r="AV16">
        <v>0</v>
      </c>
      <c r="AW16">
        <v>2</v>
      </c>
      <c r="AX16">
        <v>16497048</v>
      </c>
      <c r="AY16">
        <v>1</v>
      </c>
      <c r="AZ16">
        <v>0</v>
      </c>
      <c r="BA16">
        <v>17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114.50880000000001</v>
      </c>
      <c r="CY16">
        <f t="shared" si="0"/>
        <v>67</v>
      </c>
      <c r="CZ16">
        <f t="shared" si="1"/>
        <v>67</v>
      </c>
      <c r="DA16">
        <f t="shared" si="2"/>
        <v>1</v>
      </c>
      <c r="DB16">
        <v>0</v>
      </c>
    </row>
    <row r="17" spans="1:106" x14ac:dyDescent="0.2">
      <c r="A17">
        <f>ROW(Source!A26)</f>
        <v>26</v>
      </c>
      <c r="B17">
        <v>16496956</v>
      </c>
      <c r="C17">
        <v>16497025</v>
      </c>
      <c r="D17">
        <v>0</v>
      </c>
      <c r="E17">
        <v>0</v>
      </c>
      <c r="F17">
        <v>1</v>
      </c>
      <c r="G17">
        <v>1</v>
      </c>
      <c r="H17">
        <v>3</v>
      </c>
      <c r="I17" t="s">
        <v>31</v>
      </c>
      <c r="J17" t="s">
        <v>6</v>
      </c>
      <c r="K17" t="s">
        <v>32</v>
      </c>
      <c r="L17">
        <v>1327</v>
      </c>
      <c r="N17">
        <v>1005</v>
      </c>
      <c r="O17" t="s">
        <v>33</v>
      </c>
      <c r="P17" t="s">
        <v>33</v>
      </c>
      <c r="Q17">
        <v>1</v>
      </c>
      <c r="W17">
        <v>0</v>
      </c>
      <c r="X17">
        <v>-1032967554</v>
      </c>
      <c r="Y17">
        <v>100</v>
      </c>
      <c r="AA17">
        <v>2930.65</v>
      </c>
      <c r="AB17">
        <v>0</v>
      </c>
      <c r="AC17">
        <v>0</v>
      </c>
      <c r="AD17">
        <v>0</v>
      </c>
      <c r="AE17">
        <v>2930.65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6</v>
      </c>
      <c r="AT17">
        <v>100</v>
      </c>
      <c r="AU17" t="s">
        <v>6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6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161.28</v>
      </c>
      <c r="CY17">
        <f t="shared" si="0"/>
        <v>2930.65</v>
      </c>
      <c r="CZ17">
        <f t="shared" si="1"/>
        <v>2930.65</v>
      </c>
      <c r="DA17">
        <f t="shared" si="2"/>
        <v>1</v>
      </c>
      <c r="DB17">
        <v>0</v>
      </c>
    </row>
    <row r="18" spans="1:106" x14ac:dyDescent="0.2">
      <c r="A18">
        <f>ROW(Source!A27)</f>
        <v>27</v>
      </c>
      <c r="B18">
        <v>16497268</v>
      </c>
      <c r="C18">
        <v>16497025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230</v>
      </c>
      <c r="J18" t="s">
        <v>6</v>
      </c>
      <c r="K18" t="s">
        <v>231</v>
      </c>
      <c r="L18">
        <v>1191</v>
      </c>
      <c r="N18">
        <v>1013</v>
      </c>
      <c r="O18" t="s">
        <v>223</v>
      </c>
      <c r="P18" t="s">
        <v>223</v>
      </c>
      <c r="Q18">
        <v>1</v>
      </c>
      <c r="W18">
        <v>0</v>
      </c>
      <c r="X18">
        <v>-784637506</v>
      </c>
      <c r="Y18">
        <v>149.16</v>
      </c>
      <c r="AA18">
        <v>0</v>
      </c>
      <c r="AB18">
        <v>0</v>
      </c>
      <c r="AC18">
        <v>0</v>
      </c>
      <c r="AD18">
        <v>57.42</v>
      </c>
      <c r="AE18">
        <v>0</v>
      </c>
      <c r="AF18">
        <v>0</v>
      </c>
      <c r="AG18">
        <v>0</v>
      </c>
      <c r="AH18">
        <v>8.74</v>
      </c>
      <c r="AI18">
        <v>1</v>
      </c>
      <c r="AJ18">
        <v>1</v>
      </c>
      <c r="AK18">
        <v>1</v>
      </c>
      <c r="AL18">
        <v>6.57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149.16</v>
      </c>
      <c r="AU18" t="s">
        <v>6</v>
      </c>
      <c r="AV18">
        <v>1</v>
      </c>
      <c r="AW18">
        <v>2</v>
      </c>
      <c r="AX18">
        <v>16497038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240.565248</v>
      </c>
      <c r="CY18">
        <f>AD18</f>
        <v>57.42</v>
      </c>
      <c r="CZ18">
        <f>AH18</f>
        <v>8.74</v>
      </c>
      <c r="DA18">
        <f>AL18</f>
        <v>6.57</v>
      </c>
      <c r="DB18">
        <v>0</v>
      </c>
    </row>
    <row r="19" spans="1:106" x14ac:dyDescent="0.2">
      <c r="A19">
        <f>ROW(Source!A27)</f>
        <v>27</v>
      </c>
      <c r="B19">
        <v>16497268</v>
      </c>
      <c r="C19">
        <v>16497025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224</v>
      </c>
      <c r="J19" t="s">
        <v>6</v>
      </c>
      <c r="K19" t="s">
        <v>225</v>
      </c>
      <c r="L19">
        <v>1191</v>
      </c>
      <c r="N19">
        <v>1013</v>
      </c>
      <c r="O19" t="s">
        <v>223</v>
      </c>
      <c r="P19" t="s">
        <v>223</v>
      </c>
      <c r="Q19">
        <v>1</v>
      </c>
      <c r="W19">
        <v>0</v>
      </c>
      <c r="X19">
        <v>-1417349443</v>
      </c>
      <c r="Y19">
        <v>4.2300000000000004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6.57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4.2300000000000004</v>
      </c>
      <c r="AU19" t="s">
        <v>6</v>
      </c>
      <c r="AV19">
        <v>2</v>
      </c>
      <c r="AW19">
        <v>2</v>
      </c>
      <c r="AX19">
        <v>16497039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6.8221440000000007</v>
      </c>
      <c r="CY19">
        <f>AD19</f>
        <v>0</v>
      </c>
      <c r="CZ19">
        <f>AH19</f>
        <v>0</v>
      </c>
      <c r="DA19">
        <f>AL19</f>
        <v>1</v>
      </c>
      <c r="DB19">
        <v>0</v>
      </c>
    </row>
    <row r="20" spans="1:106" x14ac:dyDescent="0.2">
      <c r="A20">
        <f>ROW(Source!A27)</f>
        <v>27</v>
      </c>
      <c r="B20">
        <v>16497268</v>
      </c>
      <c r="C20">
        <v>16497025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226</v>
      </c>
      <c r="J20" t="s">
        <v>227</v>
      </c>
      <c r="K20" t="s">
        <v>228</v>
      </c>
      <c r="L20">
        <v>1368</v>
      </c>
      <c r="N20">
        <v>1011</v>
      </c>
      <c r="O20" t="s">
        <v>229</v>
      </c>
      <c r="P20" t="s">
        <v>229</v>
      </c>
      <c r="Q20">
        <v>1</v>
      </c>
      <c r="W20">
        <v>0</v>
      </c>
      <c r="X20">
        <v>1188625873</v>
      </c>
      <c r="Y20">
        <v>0.66</v>
      </c>
      <c r="AA20">
        <v>0</v>
      </c>
      <c r="AB20">
        <v>205.38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6.57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0.66</v>
      </c>
      <c r="AU20" t="s">
        <v>6</v>
      </c>
      <c r="AV20">
        <v>0</v>
      </c>
      <c r="AW20">
        <v>2</v>
      </c>
      <c r="AX20">
        <v>16497040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1.0644480000000001</v>
      </c>
      <c r="CY20">
        <f>AB20</f>
        <v>205.38</v>
      </c>
      <c r="CZ20">
        <f>AF20</f>
        <v>31.26</v>
      </c>
      <c r="DA20">
        <f>AJ20</f>
        <v>6.57</v>
      </c>
      <c r="DB20">
        <v>0</v>
      </c>
    </row>
    <row r="21" spans="1:106" x14ac:dyDescent="0.2">
      <c r="A21">
        <f>ROW(Source!A27)</f>
        <v>27</v>
      </c>
      <c r="B21">
        <v>16497268</v>
      </c>
      <c r="C21">
        <v>16497025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232</v>
      </c>
      <c r="J21" t="s">
        <v>233</v>
      </c>
      <c r="K21" t="s">
        <v>234</v>
      </c>
      <c r="L21">
        <v>1368</v>
      </c>
      <c r="N21">
        <v>1011</v>
      </c>
      <c r="O21" t="s">
        <v>229</v>
      </c>
      <c r="P21" t="s">
        <v>229</v>
      </c>
      <c r="Q21">
        <v>1</v>
      </c>
      <c r="W21">
        <v>0</v>
      </c>
      <c r="X21">
        <v>1372534845</v>
      </c>
      <c r="Y21">
        <v>3.57</v>
      </c>
      <c r="AA21">
        <v>0</v>
      </c>
      <c r="AB21">
        <v>431.71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6.57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3.57</v>
      </c>
      <c r="AU21" t="s">
        <v>6</v>
      </c>
      <c r="AV21">
        <v>0</v>
      </c>
      <c r="AW21">
        <v>2</v>
      </c>
      <c r="AX21">
        <v>16497041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5.7576960000000001</v>
      </c>
      <c r="CY21">
        <f>AB21</f>
        <v>431.71</v>
      </c>
      <c r="CZ21">
        <f>AF21</f>
        <v>65.709999999999994</v>
      </c>
      <c r="DA21">
        <f>AJ21</f>
        <v>6.57</v>
      </c>
      <c r="DB21">
        <v>0</v>
      </c>
    </row>
    <row r="22" spans="1:106" x14ac:dyDescent="0.2">
      <c r="A22">
        <f>ROW(Source!A27)</f>
        <v>27</v>
      </c>
      <c r="B22">
        <v>16497268</v>
      </c>
      <c r="C22">
        <v>16497025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235</v>
      </c>
      <c r="J22" t="s">
        <v>236</v>
      </c>
      <c r="K22" t="s">
        <v>237</v>
      </c>
      <c r="L22">
        <v>1301</v>
      </c>
      <c r="N22">
        <v>1003</v>
      </c>
      <c r="O22" t="s">
        <v>43</v>
      </c>
      <c r="P22" t="s">
        <v>43</v>
      </c>
      <c r="Q22">
        <v>1</v>
      </c>
      <c r="W22">
        <v>0</v>
      </c>
      <c r="X22">
        <v>751777312</v>
      </c>
      <c r="Y22">
        <v>253</v>
      </c>
      <c r="AA22">
        <v>41.92</v>
      </c>
      <c r="AB22">
        <v>0</v>
      </c>
      <c r="AC22">
        <v>0</v>
      </c>
      <c r="AD22">
        <v>0</v>
      </c>
      <c r="AE22">
        <v>6.38</v>
      </c>
      <c r="AF22">
        <v>0</v>
      </c>
      <c r="AG22">
        <v>0</v>
      </c>
      <c r="AH22">
        <v>0</v>
      </c>
      <c r="AI22">
        <v>6.57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253</v>
      </c>
      <c r="AU22" t="s">
        <v>6</v>
      </c>
      <c r="AV22">
        <v>0</v>
      </c>
      <c r="AW22">
        <v>2</v>
      </c>
      <c r="AX22">
        <v>16497042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408.03840000000002</v>
      </c>
      <c r="CY22">
        <f t="shared" ref="CY22:CY28" si="3">AA22</f>
        <v>41.92</v>
      </c>
      <c r="CZ22">
        <f t="shared" ref="CZ22:CZ28" si="4">AE22</f>
        <v>6.38</v>
      </c>
      <c r="DA22">
        <f t="shared" ref="DA22:DA28" si="5">AI22</f>
        <v>6.57</v>
      </c>
      <c r="DB22">
        <v>0</v>
      </c>
    </row>
    <row r="23" spans="1:106" x14ac:dyDescent="0.2">
      <c r="A23">
        <f>ROW(Source!A27)</f>
        <v>27</v>
      </c>
      <c r="B23">
        <v>16497268</v>
      </c>
      <c r="C23">
        <v>16497025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238</v>
      </c>
      <c r="J23" t="s">
        <v>239</v>
      </c>
      <c r="K23" t="s">
        <v>240</v>
      </c>
      <c r="L23">
        <v>1301</v>
      </c>
      <c r="N23">
        <v>1003</v>
      </c>
      <c r="O23" t="s">
        <v>43</v>
      </c>
      <c r="P23" t="s">
        <v>43</v>
      </c>
      <c r="Q23">
        <v>1</v>
      </c>
      <c r="W23">
        <v>0</v>
      </c>
      <c r="X23">
        <v>1744203244</v>
      </c>
      <c r="Y23">
        <v>59</v>
      </c>
      <c r="AA23">
        <v>52.23</v>
      </c>
      <c r="AB23">
        <v>0</v>
      </c>
      <c r="AC23">
        <v>0</v>
      </c>
      <c r="AD23">
        <v>0</v>
      </c>
      <c r="AE23">
        <v>7.95</v>
      </c>
      <c r="AF23">
        <v>0</v>
      </c>
      <c r="AG23">
        <v>0</v>
      </c>
      <c r="AH23">
        <v>0</v>
      </c>
      <c r="AI23">
        <v>6.57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59</v>
      </c>
      <c r="AU23" t="s">
        <v>6</v>
      </c>
      <c r="AV23">
        <v>0</v>
      </c>
      <c r="AW23">
        <v>2</v>
      </c>
      <c r="AX23">
        <v>16497043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95.155200000000008</v>
      </c>
      <c r="CY23">
        <f t="shared" si="3"/>
        <v>52.23</v>
      </c>
      <c r="CZ23">
        <f t="shared" si="4"/>
        <v>7.95</v>
      </c>
      <c r="DA23">
        <f t="shared" si="5"/>
        <v>6.57</v>
      </c>
      <c r="DB23">
        <v>0</v>
      </c>
    </row>
    <row r="24" spans="1:106" x14ac:dyDescent="0.2">
      <c r="A24">
        <f>ROW(Source!A27)</f>
        <v>27</v>
      </c>
      <c r="B24">
        <v>16497268</v>
      </c>
      <c r="C24">
        <v>16497025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241</v>
      </c>
      <c r="J24" t="s">
        <v>242</v>
      </c>
      <c r="K24" t="s">
        <v>243</v>
      </c>
      <c r="L24">
        <v>1302</v>
      </c>
      <c r="N24">
        <v>1003</v>
      </c>
      <c r="O24" t="s">
        <v>244</v>
      </c>
      <c r="P24" t="s">
        <v>244</v>
      </c>
      <c r="Q24">
        <v>10</v>
      </c>
      <c r="W24">
        <v>0</v>
      </c>
      <c r="X24">
        <v>-405326455</v>
      </c>
      <c r="Y24">
        <v>15.9</v>
      </c>
      <c r="AA24">
        <v>421.14</v>
      </c>
      <c r="AB24">
        <v>0</v>
      </c>
      <c r="AC24">
        <v>0</v>
      </c>
      <c r="AD24">
        <v>0</v>
      </c>
      <c r="AE24">
        <v>64.099999999999994</v>
      </c>
      <c r="AF24">
        <v>0</v>
      </c>
      <c r="AG24">
        <v>0</v>
      </c>
      <c r="AH24">
        <v>0</v>
      </c>
      <c r="AI24">
        <v>6.57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15.9</v>
      </c>
      <c r="AU24" t="s">
        <v>6</v>
      </c>
      <c r="AV24">
        <v>0</v>
      </c>
      <c r="AW24">
        <v>2</v>
      </c>
      <c r="AX24">
        <v>16497044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25.643520000000002</v>
      </c>
      <c r="CY24">
        <f t="shared" si="3"/>
        <v>421.14</v>
      </c>
      <c r="CZ24">
        <f t="shared" si="4"/>
        <v>64.099999999999994</v>
      </c>
      <c r="DA24">
        <f t="shared" si="5"/>
        <v>6.57</v>
      </c>
      <c r="DB24">
        <v>0</v>
      </c>
    </row>
    <row r="25" spans="1:106" x14ac:dyDescent="0.2">
      <c r="A25">
        <f>ROW(Source!A27)</f>
        <v>27</v>
      </c>
      <c r="B25">
        <v>16497268</v>
      </c>
      <c r="C25">
        <v>16497025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245</v>
      </c>
      <c r="J25" t="s">
        <v>246</v>
      </c>
      <c r="K25" t="s">
        <v>247</v>
      </c>
      <c r="L25">
        <v>1358</v>
      </c>
      <c r="N25">
        <v>1010</v>
      </c>
      <c r="O25" t="s">
        <v>248</v>
      </c>
      <c r="P25" t="s">
        <v>248</v>
      </c>
      <c r="Q25">
        <v>10</v>
      </c>
      <c r="W25">
        <v>0</v>
      </c>
      <c r="X25">
        <v>-858120743</v>
      </c>
      <c r="Y25">
        <v>41.2</v>
      </c>
      <c r="AA25">
        <v>46.19</v>
      </c>
      <c r="AB25">
        <v>0</v>
      </c>
      <c r="AC25">
        <v>0</v>
      </c>
      <c r="AD25">
        <v>0</v>
      </c>
      <c r="AE25">
        <v>7.03</v>
      </c>
      <c r="AF25">
        <v>0</v>
      </c>
      <c r="AG25">
        <v>0</v>
      </c>
      <c r="AH25">
        <v>0</v>
      </c>
      <c r="AI25">
        <v>6.57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41.2</v>
      </c>
      <c r="AU25" t="s">
        <v>6</v>
      </c>
      <c r="AV25">
        <v>0</v>
      </c>
      <c r="AW25">
        <v>2</v>
      </c>
      <c r="AX25">
        <v>16497045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66.447360000000003</v>
      </c>
      <c r="CY25">
        <f t="shared" si="3"/>
        <v>46.19</v>
      </c>
      <c r="CZ25">
        <f t="shared" si="4"/>
        <v>7.03</v>
      </c>
      <c r="DA25">
        <f t="shared" si="5"/>
        <v>6.57</v>
      </c>
      <c r="DB25">
        <v>0</v>
      </c>
    </row>
    <row r="26" spans="1:106" x14ac:dyDescent="0.2">
      <c r="A26">
        <f>ROW(Source!A27)</f>
        <v>27</v>
      </c>
      <c r="B26">
        <v>16497268</v>
      </c>
      <c r="C26">
        <v>16497025</v>
      </c>
      <c r="D26">
        <v>15197780</v>
      </c>
      <c r="E26">
        <v>1</v>
      </c>
      <c r="F26">
        <v>1</v>
      </c>
      <c r="G26">
        <v>1</v>
      </c>
      <c r="H26">
        <v>3</v>
      </c>
      <c r="I26" t="s">
        <v>249</v>
      </c>
      <c r="J26" t="s">
        <v>250</v>
      </c>
      <c r="K26" t="s">
        <v>251</v>
      </c>
      <c r="L26">
        <v>1355</v>
      </c>
      <c r="N26">
        <v>1010</v>
      </c>
      <c r="O26" t="s">
        <v>252</v>
      </c>
      <c r="P26" t="s">
        <v>252</v>
      </c>
      <c r="Q26">
        <v>100</v>
      </c>
      <c r="W26">
        <v>0</v>
      </c>
      <c r="X26">
        <v>1709713925</v>
      </c>
      <c r="Y26">
        <v>8</v>
      </c>
      <c r="AA26">
        <v>328.5</v>
      </c>
      <c r="AB26">
        <v>0</v>
      </c>
      <c r="AC26">
        <v>0</v>
      </c>
      <c r="AD26">
        <v>0</v>
      </c>
      <c r="AE26">
        <v>50</v>
      </c>
      <c r="AF26">
        <v>0</v>
      </c>
      <c r="AG26">
        <v>0</v>
      </c>
      <c r="AH26">
        <v>0</v>
      </c>
      <c r="AI26">
        <v>6.57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8</v>
      </c>
      <c r="AU26" t="s">
        <v>6</v>
      </c>
      <c r="AV26">
        <v>0</v>
      </c>
      <c r="AW26">
        <v>2</v>
      </c>
      <c r="AX26">
        <v>16497047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12.9024</v>
      </c>
      <c r="CY26">
        <f t="shared" si="3"/>
        <v>328.5</v>
      </c>
      <c r="CZ26">
        <f t="shared" si="4"/>
        <v>50</v>
      </c>
      <c r="DA26">
        <f t="shared" si="5"/>
        <v>6.57</v>
      </c>
      <c r="DB26">
        <v>0</v>
      </c>
    </row>
    <row r="27" spans="1:106" x14ac:dyDescent="0.2">
      <c r="A27">
        <f>ROW(Source!A27)</f>
        <v>27</v>
      </c>
      <c r="B27">
        <v>16497268</v>
      </c>
      <c r="C27">
        <v>16497025</v>
      </c>
      <c r="D27">
        <v>15204239</v>
      </c>
      <c r="E27">
        <v>1</v>
      </c>
      <c r="F27">
        <v>1</v>
      </c>
      <c r="G27">
        <v>1</v>
      </c>
      <c r="H27">
        <v>3</v>
      </c>
      <c r="I27" t="s">
        <v>253</v>
      </c>
      <c r="J27" t="s">
        <v>254</v>
      </c>
      <c r="K27" t="s">
        <v>255</v>
      </c>
      <c r="L27">
        <v>1354</v>
      </c>
      <c r="N27">
        <v>1010</v>
      </c>
      <c r="O27" t="s">
        <v>256</v>
      </c>
      <c r="P27" t="s">
        <v>256</v>
      </c>
      <c r="Q27">
        <v>1</v>
      </c>
      <c r="W27">
        <v>0</v>
      </c>
      <c r="X27">
        <v>-1018551266</v>
      </c>
      <c r="Y27">
        <v>71</v>
      </c>
      <c r="AA27">
        <v>440.19</v>
      </c>
      <c r="AB27">
        <v>0</v>
      </c>
      <c r="AC27">
        <v>0</v>
      </c>
      <c r="AD27">
        <v>0</v>
      </c>
      <c r="AE27">
        <v>67</v>
      </c>
      <c r="AF27">
        <v>0</v>
      </c>
      <c r="AG27">
        <v>0</v>
      </c>
      <c r="AH27">
        <v>0</v>
      </c>
      <c r="AI27">
        <v>6.57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71</v>
      </c>
      <c r="AU27" t="s">
        <v>6</v>
      </c>
      <c r="AV27">
        <v>0</v>
      </c>
      <c r="AW27">
        <v>2</v>
      </c>
      <c r="AX27">
        <v>16497048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114.50880000000001</v>
      </c>
      <c r="CY27">
        <f t="shared" si="3"/>
        <v>440.19</v>
      </c>
      <c r="CZ27">
        <f t="shared" si="4"/>
        <v>67</v>
      </c>
      <c r="DA27">
        <f t="shared" si="5"/>
        <v>6.57</v>
      </c>
      <c r="DB27">
        <v>0</v>
      </c>
    </row>
    <row r="28" spans="1:106" x14ac:dyDescent="0.2">
      <c r="A28">
        <f>ROW(Source!A27)</f>
        <v>27</v>
      </c>
      <c r="B28">
        <v>16497268</v>
      </c>
      <c r="C28">
        <v>16497025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31</v>
      </c>
      <c r="J28" t="s">
        <v>6</v>
      </c>
      <c r="K28" t="s">
        <v>32</v>
      </c>
      <c r="L28">
        <v>1327</v>
      </c>
      <c r="N28">
        <v>1005</v>
      </c>
      <c r="O28" t="s">
        <v>33</v>
      </c>
      <c r="P28" t="s">
        <v>33</v>
      </c>
      <c r="Q28">
        <v>1</v>
      </c>
      <c r="W28">
        <v>0</v>
      </c>
      <c r="X28">
        <v>-1032967554</v>
      </c>
      <c r="Y28">
        <v>100</v>
      </c>
      <c r="AA28">
        <v>2930.68</v>
      </c>
      <c r="AB28">
        <v>0</v>
      </c>
      <c r="AC28">
        <v>0</v>
      </c>
      <c r="AD28">
        <v>0</v>
      </c>
      <c r="AE28">
        <v>446.07</v>
      </c>
      <c r="AF28">
        <v>0</v>
      </c>
      <c r="AG28">
        <v>0</v>
      </c>
      <c r="AH28">
        <v>0</v>
      </c>
      <c r="AI28">
        <v>6.57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161.28</v>
      </c>
      <c r="CY28">
        <f t="shared" si="3"/>
        <v>2930.68</v>
      </c>
      <c r="CZ28">
        <f t="shared" si="4"/>
        <v>446.07</v>
      </c>
      <c r="DA28">
        <f t="shared" si="5"/>
        <v>6.57</v>
      </c>
      <c r="DB28">
        <v>0</v>
      </c>
    </row>
    <row r="29" spans="1:106" x14ac:dyDescent="0.2">
      <c r="A29">
        <f>ROW(Source!A30)</f>
        <v>30</v>
      </c>
      <c r="B29">
        <v>16496956</v>
      </c>
      <c r="C29">
        <v>16497051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257</v>
      </c>
      <c r="J29" t="s">
        <v>6</v>
      </c>
      <c r="K29" t="s">
        <v>258</v>
      </c>
      <c r="L29">
        <v>1191</v>
      </c>
      <c r="N29">
        <v>1013</v>
      </c>
      <c r="O29" t="s">
        <v>223</v>
      </c>
      <c r="P29" t="s">
        <v>223</v>
      </c>
      <c r="Q29">
        <v>1</v>
      </c>
      <c r="W29">
        <v>0</v>
      </c>
      <c r="X29">
        <v>-400197608</v>
      </c>
      <c r="Y29">
        <v>21.38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21.38</v>
      </c>
      <c r="AU29" t="s">
        <v>6</v>
      </c>
      <c r="AV29">
        <v>1</v>
      </c>
      <c r="AW29">
        <v>2</v>
      </c>
      <c r="AX29">
        <v>16497059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23.945600000000002</v>
      </c>
      <c r="CY29">
        <f>AD29</f>
        <v>8.5299999999999994</v>
      </c>
      <c r="CZ29">
        <f>AH29</f>
        <v>8.5299999999999994</v>
      </c>
      <c r="DA29">
        <f>AL29</f>
        <v>1</v>
      </c>
      <c r="DB29">
        <v>0</v>
      </c>
    </row>
    <row r="30" spans="1:106" x14ac:dyDescent="0.2">
      <c r="A30">
        <f>ROW(Source!A30)</f>
        <v>30</v>
      </c>
      <c r="B30">
        <v>16496956</v>
      </c>
      <c r="C30">
        <v>16497051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224</v>
      </c>
      <c r="J30" t="s">
        <v>6</v>
      </c>
      <c r="K30" t="s">
        <v>225</v>
      </c>
      <c r="L30">
        <v>1191</v>
      </c>
      <c r="N30">
        <v>1013</v>
      </c>
      <c r="O30" t="s">
        <v>223</v>
      </c>
      <c r="P30" t="s">
        <v>223</v>
      </c>
      <c r="Q30">
        <v>1</v>
      </c>
      <c r="W30">
        <v>0</v>
      </c>
      <c r="X30">
        <v>-1417349443</v>
      </c>
      <c r="Y30">
        <v>0.37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0.37</v>
      </c>
      <c r="AU30" t="s">
        <v>6</v>
      </c>
      <c r="AV30">
        <v>2</v>
      </c>
      <c r="AW30">
        <v>2</v>
      </c>
      <c r="AX30">
        <v>16497060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0.41440000000000005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ROW(Source!A30)</f>
        <v>30</v>
      </c>
      <c r="B31">
        <v>16496956</v>
      </c>
      <c r="C31">
        <v>16497051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226</v>
      </c>
      <c r="J31" t="s">
        <v>227</v>
      </c>
      <c r="K31" t="s">
        <v>228</v>
      </c>
      <c r="L31">
        <v>1368</v>
      </c>
      <c r="N31">
        <v>1011</v>
      </c>
      <c r="O31" t="s">
        <v>229</v>
      </c>
      <c r="P31" t="s">
        <v>229</v>
      </c>
      <c r="Q31">
        <v>1</v>
      </c>
      <c r="W31">
        <v>0</v>
      </c>
      <c r="X31">
        <v>1188625873</v>
      </c>
      <c r="Y31">
        <v>7.0000000000000007E-2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7.0000000000000007E-2</v>
      </c>
      <c r="AU31" t="s">
        <v>6</v>
      </c>
      <c r="AV31">
        <v>0</v>
      </c>
      <c r="AW31">
        <v>2</v>
      </c>
      <c r="AX31">
        <v>16497061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7.8400000000000011E-2</v>
      </c>
      <c r="CY31">
        <f>AB31</f>
        <v>31.26</v>
      </c>
      <c r="CZ31">
        <f>AF31</f>
        <v>31.26</v>
      </c>
      <c r="DA31">
        <f>AJ31</f>
        <v>1</v>
      </c>
      <c r="DB31">
        <v>0</v>
      </c>
    </row>
    <row r="32" spans="1:106" x14ac:dyDescent="0.2">
      <c r="A32">
        <f>ROW(Source!A30)</f>
        <v>30</v>
      </c>
      <c r="B32">
        <v>16496956</v>
      </c>
      <c r="C32">
        <v>16497051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232</v>
      </c>
      <c r="J32" t="s">
        <v>233</v>
      </c>
      <c r="K32" t="s">
        <v>234</v>
      </c>
      <c r="L32">
        <v>1368</v>
      </c>
      <c r="N32">
        <v>1011</v>
      </c>
      <c r="O32" t="s">
        <v>229</v>
      </c>
      <c r="P32" t="s">
        <v>229</v>
      </c>
      <c r="Q32">
        <v>1</v>
      </c>
      <c r="W32">
        <v>0</v>
      </c>
      <c r="X32">
        <v>1372534845</v>
      </c>
      <c r="Y32">
        <v>0.3</v>
      </c>
      <c r="AA32">
        <v>0</v>
      </c>
      <c r="AB32">
        <v>65.709999999999994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</v>
      </c>
      <c r="AU32" t="s">
        <v>6</v>
      </c>
      <c r="AV32">
        <v>0</v>
      </c>
      <c r="AW32">
        <v>2</v>
      </c>
      <c r="AX32">
        <v>16497062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0.33600000000000002</v>
      </c>
      <c r="CY32">
        <f>AB32</f>
        <v>65.709999999999994</v>
      </c>
      <c r="CZ32">
        <f>AF32</f>
        <v>65.709999999999994</v>
      </c>
      <c r="DA32">
        <f>AJ32</f>
        <v>1</v>
      </c>
      <c r="DB32">
        <v>0</v>
      </c>
    </row>
    <row r="33" spans="1:106" x14ac:dyDescent="0.2">
      <c r="A33">
        <f>ROW(Source!A30)</f>
        <v>30</v>
      </c>
      <c r="B33">
        <v>16496956</v>
      </c>
      <c r="C33">
        <v>16497051</v>
      </c>
      <c r="D33">
        <v>15197780</v>
      </c>
      <c r="E33">
        <v>1</v>
      </c>
      <c r="F33">
        <v>1</v>
      </c>
      <c r="G33">
        <v>1</v>
      </c>
      <c r="H33">
        <v>3</v>
      </c>
      <c r="I33" t="s">
        <v>249</v>
      </c>
      <c r="J33" t="s">
        <v>250</v>
      </c>
      <c r="K33" t="s">
        <v>251</v>
      </c>
      <c r="L33">
        <v>1355</v>
      </c>
      <c r="N33">
        <v>1010</v>
      </c>
      <c r="O33" t="s">
        <v>252</v>
      </c>
      <c r="P33" t="s">
        <v>252</v>
      </c>
      <c r="Q33">
        <v>100</v>
      </c>
      <c r="W33">
        <v>0</v>
      </c>
      <c r="X33">
        <v>1709713925</v>
      </c>
      <c r="Y33">
        <v>4</v>
      </c>
      <c r="AA33">
        <v>50</v>
      </c>
      <c r="AB33">
        <v>0</v>
      </c>
      <c r="AC33">
        <v>0</v>
      </c>
      <c r="AD33">
        <v>0</v>
      </c>
      <c r="AE33">
        <v>50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4</v>
      </c>
      <c r="AU33" t="s">
        <v>6</v>
      </c>
      <c r="AV33">
        <v>0</v>
      </c>
      <c r="AW33">
        <v>2</v>
      </c>
      <c r="AX33">
        <v>16497064</v>
      </c>
      <c r="AY33">
        <v>1</v>
      </c>
      <c r="AZ33">
        <v>0</v>
      </c>
      <c r="BA33">
        <v>34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4.4800000000000004</v>
      </c>
      <c r="CY33">
        <f>AA33</f>
        <v>50</v>
      </c>
      <c r="CZ33">
        <f>AE33</f>
        <v>50</v>
      </c>
      <c r="DA33">
        <f>AI33</f>
        <v>1</v>
      </c>
      <c r="DB33">
        <v>0</v>
      </c>
    </row>
    <row r="34" spans="1:106" x14ac:dyDescent="0.2">
      <c r="A34">
        <f>ROW(Source!A30)</f>
        <v>30</v>
      </c>
      <c r="B34">
        <v>16496956</v>
      </c>
      <c r="C34">
        <v>16497051</v>
      </c>
      <c r="D34">
        <v>15204239</v>
      </c>
      <c r="E34">
        <v>1</v>
      </c>
      <c r="F34">
        <v>1</v>
      </c>
      <c r="G34">
        <v>1</v>
      </c>
      <c r="H34">
        <v>3</v>
      </c>
      <c r="I34" t="s">
        <v>253</v>
      </c>
      <c r="J34" t="s">
        <v>254</v>
      </c>
      <c r="K34" t="s">
        <v>255</v>
      </c>
      <c r="L34">
        <v>1354</v>
      </c>
      <c r="N34">
        <v>1010</v>
      </c>
      <c r="O34" t="s">
        <v>256</v>
      </c>
      <c r="P34" t="s">
        <v>256</v>
      </c>
      <c r="Q34">
        <v>1</v>
      </c>
      <c r="W34">
        <v>0</v>
      </c>
      <c r="X34">
        <v>-1018551266</v>
      </c>
      <c r="Y34">
        <v>90.7</v>
      </c>
      <c r="AA34">
        <v>67</v>
      </c>
      <c r="AB34">
        <v>0</v>
      </c>
      <c r="AC34">
        <v>0</v>
      </c>
      <c r="AD34">
        <v>0</v>
      </c>
      <c r="AE34">
        <v>67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90.7</v>
      </c>
      <c r="AU34" t="s">
        <v>6</v>
      </c>
      <c r="AV34">
        <v>0</v>
      </c>
      <c r="AW34">
        <v>2</v>
      </c>
      <c r="AX34">
        <v>16497065</v>
      </c>
      <c r="AY34">
        <v>1</v>
      </c>
      <c r="AZ34">
        <v>0</v>
      </c>
      <c r="BA34">
        <v>35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101.58400000000002</v>
      </c>
      <c r="CY34">
        <f>AA34</f>
        <v>67</v>
      </c>
      <c r="CZ34">
        <f>AE34</f>
        <v>67</v>
      </c>
      <c r="DA34">
        <f>AI34</f>
        <v>1</v>
      </c>
      <c r="DB34">
        <v>0</v>
      </c>
    </row>
    <row r="35" spans="1:106" x14ac:dyDescent="0.2">
      <c r="A35">
        <f>ROW(Source!A30)</f>
        <v>30</v>
      </c>
      <c r="B35">
        <v>16496956</v>
      </c>
      <c r="C35">
        <v>16497051</v>
      </c>
      <c r="D35">
        <v>0</v>
      </c>
      <c r="E35">
        <v>0</v>
      </c>
      <c r="F35">
        <v>1</v>
      </c>
      <c r="G35">
        <v>1</v>
      </c>
      <c r="H35">
        <v>3</v>
      </c>
      <c r="I35" t="s">
        <v>31</v>
      </c>
      <c r="J35" t="s">
        <v>6</v>
      </c>
      <c r="K35" t="s">
        <v>42</v>
      </c>
      <c r="L35">
        <v>1301</v>
      </c>
      <c r="N35">
        <v>1003</v>
      </c>
      <c r="O35" t="s">
        <v>43</v>
      </c>
      <c r="P35" t="s">
        <v>43</v>
      </c>
      <c r="Q35">
        <v>1</v>
      </c>
      <c r="W35">
        <v>0</v>
      </c>
      <c r="X35">
        <v>-237550630</v>
      </c>
      <c r="Y35">
        <v>100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0</v>
      </c>
      <c r="AP35">
        <v>0</v>
      </c>
      <c r="AQ35">
        <v>0</v>
      </c>
      <c r="AR35">
        <v>0</v>
      </c>
      <c r="AS35" t="s">
        <v>6</v>
      </c>
      <c r="AT35">
        <v>100</v>
      </c>
      <c r="AU35" t="s">
        <v>6</v>
      </c>
      <c r="AV35">
        <v>0</v>
      </c>
      <c r="AW35">
        <v>1</v>
      </c>
      <c r="AX35">
        <v>-1</v>
      </c>
      <c r="AY35">
        <v>0</v>
      </c>
      <c r="AZ35">
        <v>0</v>
      </c>
      <c r="BA35" t="s">
        <v>6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112.00000000000001</v>
      </c>
      <c r="CY35">
        <f>AA35</f>
        <v>0</v>
      </c>
      <c r="CZ35">
        <f>AE35</f>
        <v>0</v>
      </c>
      <c r="DA35">
        <f>AI35</f>
        <v>1</v>
      </c>
      <c r="DB35">
        <v>0</v>
      </c>
    </row>
    <row r="36" spans="1:106" x14ac:dyDescent="0.2">
      <c r="A36">
        <f>ROW(Source!A31)</f>
        <v>31</v>
      </c>
      <c r="B36">
        <v>16497268</v>
      </c>
      <c r="C36">
        <v>16497051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257</v>
      </c>
      <c r="J36" t="s">
        <v>6</v>
      </c>
      <c r="K36" t="s">
        <v>258</v>
      </c>
      <c r="L36">
        <v>1191</v>
      </c>
      <c r="N36">
        <v>1013</v>
      </c>
      <c r="O36" t="s">
        <v>223</v>
      </c>
      <c r="P36" t="s">
        <v>223</v>
      </c>
      <c r="Q36">
        <v>1</v>
      </c>
      <c r="W36">
        <v>0</v>
      </c>
      <c r="X36">
        <v>-400197608</v>
      </c>
      <c r="Y36">
        <v>21.38</v>
      </c>
      <c r="AA36">
        <v>0</v>
      </c>
      <c r="AB36">
        <v>0</v>
      </c>
      <c r="AC36">
        <v>0</v>
      </c>
      <c r="AD36">
        <v>56.04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6.57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21.38</v>
      </c>
      <c r="AU36" t="s">
        <v>6</v>
      </c>
      <c r="AV36">
        <v>1</v>
      </c>
      <c r="AW36">
        <v>2</v>
      </c>
      <c r="AX36">
        <v>16497059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23.945600000000002</v>
      </c>
      <c r="CY36">
        <f>AD36</f>
        <v>56.04</v>
      </c>
      <c r="CZ36">
        <f>AH36</f>
        <v>8.5299999999999994</v>
      </c>
      <c r="DA36">
        <f>AL36</f>
        <v>6.57</v>
      </c>
      <c r="DB36">
        <v>0</v>
      </c>
    </row>
    <row r="37" spans="1:106" x14ac:dyDescent="0.2">
      <c r="A37">
        <f>ROW(Source!A31)</f>
        <v>31</v>
      </c>
      <c r="B37">
        <v>16497268</v>
      </c>
      <c r="C37">
        <v>16497051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224</v>
      </c>
      <c r="J37" t="s">
        <v>6</v>
      </c>
      <c r="K37" t="s">
        <v>225</v>
      </c>
      <c r="L37">
        <v>1191</v>
      </c>
      <c r="N37">
        <v>1013</v>
      </c>
      <c r="O37" t="s">
        <v>223</v>
      </c>
      <c r="P37" t="s">
        <v>223</v>
      </c>
      <c r="Q37">
        <v>1</v>
      </c>
      <c r="W37">
        <v>0</v>
      </c>
      <c r="X37">
        <v>-1417349443</v>
      </c>
      <c r="Y37">
        <v>0.37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6.57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0.37</v>
      </c>
      <c r="AU37" t="s">
        <v>6</v>
      </c>
      <c r="AV37">
        <v>2</v>
      </c>
      <c r="AW37">
        <v>2</v>
      </c>
      <c r="AX37">
        <v>16497060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0.41440000000000005</v>
      </c>
      <c r="CY37">
        <f>AD37</f>
        <v>0</v>
      </c>
      <c r="CZ37">
        <f>AH37</f>
        <v>0</v>
      </c>
      <c r="DA37">
        <f>AL37</f>
        <v>1</v>
      </c>
      <c r="DB37">
        <v>0</v>
      </c>
    </row>
    <row r="38" spans="1:106" x14ac:dyDescent="0.2">
      <c r="A38">
        <f>ROW(Source!A31)</f>
        <v>31</v>
      </c>
      <c r="B38">
        <v>16497268</v>
      </c>
      <c r="C38">
        <v>16497051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226</v>
      </c>
      <c r="J38" t="s">
        <v>227</v>
      </c>
      <c r="K38" t="s">
        <v>228</v>
      </c>
      <c r="L38">
        <v>1368</v>
      </c>
      <c r="N38">
        <v>1011</v>
      </c>
      <c r="O38" t="s">
        <v>229</v>
      </c>
      <c r="P38" t="s">
        <v>229</v>
      </c>
      <c r="Q38">
        <v>1</v>
      </c>
      <c r="W38">
        <v>0</v>
      </c>
      <c r="X38">
        <v>1188625873</v>
      </c>
      <c r="Y38">
        <v>7.0000000000000007E-2</v>
      </c>
      <c r="AA38">
        <v>0</v>
      </c>
      <c r="AB38">
        <v>205.38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6.57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7.0000000000000007E-2</v>
      </c>
      <c r="AU38" t="s">
        <v>6</v>
      </c>
      <c r="AV38">
        <v>0</v>
      </c>
      <c r="AW38">
        <v>2</v>
      </c>
      <c r="AX38">
        <v>16497061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7.8400000000000011E-2</v>
      </c>
      <c r="CY38">
        <f>AB38</f>
        <v>205.38</v>
      </c>
      <c r="CZ38">
        <f>AF38</f>
        <v>31.26</v>
      </c>
      <c r="DA38">
        <f>AJ38</f>
        <v>6.57</v>
      </c>
      <c r="DB38">
        <v>0</v>
      </c>
    </row>
    <row r="39" spans="1:106" x14ac:dyDescent="0.2">
      <c r="A39">
        <f>ROW(Source!A31)</f>
        <v>31</v>
      </c>
      <c r="B39">
        <v>16497268</v>
      </c>
      <c r="C39">
        <v>16497051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232</v>
      </c>
      <c r="J39" t="s">
        <v>233</v>
      </c>
      <c r="K39" t="s">
        <v>234</v>
      </c>
      <c r="L39">
        <v>1368</v>
      </c>
      <c r="N39">
        <v>1011</v>
      </c>
      <c r="O39" t="s">
        <v>229</v>
      </c>
      <c r="P39" t="s">
        <v>229</v>
      </c>
      <c r="Q39">
        <v>1</v>
      </c>
      <c r="W39">
        <v>0</v>
      </c>
      <c r="X39">
        <v>1372534845</v>
      </c>
      <c r="Y39">
        <v>0.3</v>
      </c>
      <c r="AA39">
        <v>0</v>
      </c>
      <c r="AB39">
        <v>431.71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6.57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0.3</v>
      </c>
      <c r="AU39" t="s">
        <v>6</v>
      </c>
      <c r="AV39">
        <v>0</v>
      </c>
      <c r="AW39">
        <v>2</v>
      </c>
      <c r="AX39">
        <v>16497062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0.33600000000000002</v>
      </c>
      <c r="CY39">
        <f>AB39</f>
        <v>431.71</v>
      </c>
      <c r="CZ39">
        <f>AF39</f>
        <v>65.709999999999994</v>
      </c>
      <c r="DA39">
        <f>AJ39</f>
        <v>6.57</v>
      </c>
      <c r="DB39">
        <v>0</v>
      </c>
    </row>
    <row r="40" spans="1:106" x14ac:dyDescent="0.2">
      <c r="A40">
        <f>ROW(Source!A31)</f>
        <v>31</v>
      </c>
      <c r="B40">
        <v>16497268</v>
      </c>
      <c r="C40">
        <v>16497051</v>
      </c>
      <c r="D40">
        <v>15197780</v>
      </c>
      <c r="E40">
        <v>1</v>
      </c>
      <c r="F40">
        <v>1</v>
      </c>
      <c r="G40">
        <v>1</v>
      </c>
      <c r="H40">
        <v>3</v>
      </c>
      <c r="I40" t="s">
        <v>249</v>
      </c>
      <c r="J40" t="s">
        <v>250</v>
      </c>
      <c r="K40" t="s">
        <v>251</v>
      </c>
      <c r="L40">
        <v>1355</v>
      </c>
      <c r="N40">
        <v>1010</v>
      </c>
      <c r="O40" t="s">
        <v>252</v>
      </c>
      <c r="P40" t="s">
        <v>252</v>
      </c>
      <c r="Q40">
        <v>100</v>
      </c>
      <c r="W40">
        <v>0</v>
      </c>
      <c r="X40">
        <v>1709713925</v>
      </c>
      <c r="Y40">
        <v>4</v>
      </c>
      <c r="AA40">
        <v>328.5</v>
      </c>
      <c r="AB40">
        <v>0</v>
      </c>
      <c r="AC40">
        <v>0</v>
      </c>
      <c r="AD40">
        <v>0</v>
      </c>
      <c r="AE40">
        <v>50</v>
      </c>
      <c r="AF40">
        <v>0</v>
      </c>
      <c r="AG40">
        <v>0</v>
      </c>
      <c r="AH40">
        <v>0</v>
      </c>
      <c r="AI40">
        <v>6.57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4</v>
      </c>
      <c r="AU40" t="s">
        <v>6</v>
      </c>
      <c r="AV40">
        <v>0</v>
      </c>
      <c r="AW40">
        <v>2</v>
      </c>
      <c r="AX40">
        <v>16497064</v>
      </c>
      <c r="AY40">
        <v>1</v>
      </c>
      <c r="AZ40">
        <v>0</v>
      </c>
      <c r="BA40">
        <v>41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4.4800000000000004</v>
      </c>
      <c r="CY40">
        <f>AA40</f>
        <v>328.5</v>
      </c>
      <c r="CZ40">
        <f>AE40</f>
        <v>50</v>
      </c>
      <c r="DA40">
        <f>AI40</f>
        <v>6.57</v>
      </c>
      <c r="DB40">
        <v>0</v>
      </c>
    </row>
    <row r="41" spans="1:106" x14ac:dyDescent="0.2">
      <c r="A41">
        <f>ROW(Source!A31)</f>
        <v>31</v>
      </c>
      <c r="B41">
        <v>16497268</v>
      </c>
      <c r="C41">
        <v>16497051</v>
      </c>
      <c r="D41">
        <v>15204239</v>
      </c>
      <c r="E41">
        <v>1</v>
      </c>
      <c r="F41">
        <v>1</v>
      </c>
      <c r="G41">
        <v>1</v>
      </c>
      <c r="H41">
        <v>3</v>
      </c>
      <c r="I41" t="s">
        <v>253</v>
      </c>
      <c r="J41" t="s">
        <v>254</v>
      </c>
      <c r="K41" t="s">
        <v>255</v>
      </c>
      <c r="L41">
        <v>1354</v>
      </c>
      <c r="N41">
        <v>1010</v>
      </c>
      <c r="O41" t="s">
        <v>256</v>
      </c>
      <c r="P41" t="s">
        <v>256</v>
      </c>
      <c r="Q41">
        <v>1</v>
      </c>
      <c r="W41">
        <v>0</v>
      </c>
      <c r="X41">
        <v>-1018551266</v>
      </c>
      <c r="Y41">
        <v>90.7</v>
      </c>
      <c r="AA41">
        <v>440.19</v>
      </c>
      <c r="AB41">
        <v>0</v>
      </c>
      <c r="AC41">
        <v>0</v>
      </c>
      <c r="AD41">
        <v>0</v>
      </c>
      <c r="AE41">
        <v>67</v>
      </c>
      <c r="AF41">
        <v>0</v>
      </c>
      <c r="AG41">
        <v>0</v>
      </c>
      <c r="AH41">
        <v>0</v>
      </c>
      <c r="AI41">
        <v>6.57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90.7</v>
      </c>
      <c r="AU41" t="s">
        <v>6</v>
      </c>
      <c r="AV41">
        <v>0</v>
      </c>
      <c r="AW41">
        <v>2</v>
      </c>
      <c r="AX41">
        <v>16497065</v>
      </c>
      <c r="AY41">
        <v>1</v>
      </c>
      <c r="AZ41">
        <v>0</v>
      </c>
      <c r="BA41">
        <v>42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101.58400000000002</v>
      </c>
      <c r="CY41">
        <f>AA41</f>
        <v>440.19</v>
      </c>
      <c r="CZ41">
        <f>AE41</f>
        <v>67</v>
      </c>
      <c r="DA41">
        <f>AI41</f>
        <v>6.57</v>
      </c>
      <c r="DB41">
        <v>0</v>
      </c>
    </row>
    <row r="42" spans="1:106" x14ac:dyDescent="0.2">
      <c r="A42">
        <f>ROW(Source!A31)</f>
        <v>31</v>
      </c>
      <c r="B42">
        <v>16497268</v>
      </c>
      <c r="C42">
        <v>16497051</v>
      </c>
      <c r="D42">
        <v>0</v>
      </c>
      <c r="E42">
        <v>0</v>
      </c>
      <c r="F42">
        <v>1</v>
      </c>
      <c r="G42">
        <v>1</v>
      </c>
      <c r="H42">
        <v>3</v>
      </c>
      <c r="I42" t="s">
        <v>31</v>
      </c>
      <c r="J42" t="s">
        <v>6</v>
      </c>
      <c r="K42" t="s">
        <v>42</v>
      </c>
      <c r="L42">
        <v>1301</v>
      </c>
      <c r="N42">
        <v>1003</v>
      </c>
      <c r="O42" t="s">
        <v>43</v>
      </c>
      <c r="P42" t="s">
        <v>43</v>
      </c>
      <c r="Q42">
        <v>1</v>
      </c>
      <c r="W42">
        <v>0</v>
      </c>
      <c r="X42">
        <v>-237550630</v>
      </c>
      <c r="Y42">
        <v>100</v>
      </c>
      <c r="AA42">
        <v>1524.31</v>
      </c>
      <c r="AB42">
        <v>0</v>
      </c>
      <c r="AC42">
        <v>0</v>
      </c>
      <c r="AD42">
        <v>0</v>
      </c>
      <c r="AE42">
        <v>232.01</v>
      </c>
      <c r="AF42">
        <v>0</v>
      </c>
      <c r="AG42">
        <v>0</v>
      </c>
      <c r="AH42">
        <v>0</v>
      </c>
      <c r="AI42">
        <v>6.57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6</v>
      </c>
      <c r="AT42">
        <v>100</v>
      </c>
      <c r="AU42" t="s">
        <v>6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6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112.00000000000001</v>
      </c>
      <c r="CY42">
        <f>AA42</f>
        <v>1524.31</v>
      </c>
      <c r="CZ42">
        <f>AE42</f>
        <v>232.01</v>
      </c>
      <c r="DA42">
        <f>AI42</f>
        <v>6.57</v>
      </c>
      <c r="DB42">
        <v>0</v>
      </c>
    </row>
    <row r="43" spans="1:106" x14ac:dyDescent="0.2">
      <c r="A43">
        <f>ROW(Source!A34)</f>
        <v>34</v>
      </c>
      <c r="B43">
        <v>16496956</v>
      </c>
      <c r="C43">
        <v>16497067</v>
      </c>
      <c r="D43">
        <v>15430767</v>
      </c>
      <c r="E43">
        <v>1</v>
      </c>
      <c r="F43">
        <v>1</v>
      </c>
      <c r="G43">
        <v>1</v>
      </c>
      <c r="H43">
        <v>1</v>
      </c>
      <c r="I43" t="s">
        <v>257</v>
      </c>
      <c r="J43" t="s">
        <v>6</v>
      </c>
      <c r="K43" t="s">
        <v>258</v>
      </c>
      <c r="L43">
        <v>1191</v>
      </c>
      <c r="N43">
        <v>1013</v>
      </c>
      <c r="O43" t="s">
        <v>223</v>
      </c>
      <c r="P43" t="s">
        <v>223</v>
      </c>
      <c r="Q43">
        <v>1</v>
      </c>
      <c r="W43">
        <v>0</v>
      </c>
      <c r="X43">
        <v>-400197608</v>
      </c>
      <c r="Y43">
        <v>41.41</v>
      </c>
      <c r="AA43">
        <v>0</v>
      </c>
      <c r="AB43">
        <v>0</v>
      </c>
      <c r="AC43">
        <v>0</v>
      </c>
      <c r="AD43">
        <v>8.5299999999999994</v>
      </c>
      <c r="AE43">
        <v>0</v>
      </c>
      <c r="AF43">
        <v>0</v>
      </c>
      <c r="AG43">
        <v>0</v>
      </c>
      <c r="AH43">
        <v>8.5299999999999994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41.41</v>
      </c>
      <c r="AU43" t="s">
        <v>6</v>
      </c>
      <c r="AV43">
        <v>1</v>
      </c>
      <c r="AW43">
        <v>2</v>
      </c>
      <c r="AX43">
        <v>16497078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46.379199999999997</v>
      </c>
      <c r="CY43">
        <f>AD43</f>
        <v>8.5299999999999994</v>
      </c>
      <c r="CZ43">
        <f>AH43</f>
        <v>8.5299999999999994</v>
      </c>
      <c r="DA43">
        <f>AL43</f>
        <v>1</v>
      </c>
      <c r="DB43">
        <v>0</v>
      </c>
    </row>
    <row r="44" spans="1:106" x14ac:dyDescent="0.2">
      <c r="A44">
        <f>ROW(Source!A34)</f>
        <v>34</v>
      </c>
      <c r="B44">
        <v>16496956</v>
      </c>
      <c r="C44">
        <v>16497067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224</v>
      </c>
      <c r="J44" t="s">
        <v>6</v>
      </c>
      <c r="K44" t="s">
        <v>225</v>
      </c>
      <c r="L44">
        <v>1191</v>
      </c>
      <c r="N44">
        <v>1013</v>
      </c>
      <c r="O44" t="s">
        <v>223</v>
      </c>
      <c r="P44" t="s">
        <v>223</v>
      </c>
      <c r="Q44">
        <v>1</v>
      </c>
      <c r="W44">
        <v>0</v>
      </c>
      <c r="X44">
        <v>-1417349443</v>
      </c>
      <c r="Y44">
        <v>0.12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0.12</v>
      </c>
      <c r="AU44" t="s">
        <v>6</v>
      </c>
      <c r="AV44">
        <v>2</v>
      </c>
      <c r="AW44">
        <v>2</v>
      </c>
      <c r="AX44">
        <v>16497079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0.13440000000000002</v>
      </c>
      <c r="CY44">
        <f>AD44</f>
        <v>0</v>
      </c>
      <c r="CZ44">
        <f>AH44</f>
        <v>0</v>
      </c>
      <c r="DA44">
        <f>AL44</f>
        <v>1</v>
      </c>
      <c r="DB44">
        <v>0</v>
      </c>
    </row>
    <row r="45" spans="1:106" x14ac:dyDescent="0.2">
      <c r="A45">
        <f>ROW(Source!A34)</f>
        <v>34</v>
      </c>
      <c r="B45">
        <v>16496956</v>
      </c>
      <c r="C45">
        <v>16497067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226</v>
      </c>
      <c r="J45" t="s">
        <v>227</v>
      </c>
      <c r="K45" t="s">
        <v>228</v>
      </c>
      <c r="L45">
        <v>1368</v>
      </c>
      <c r="N45">
        <v>1011</v>
      </c>
      <c r="O45" t="s">
        <v>229</v>
      </c>
      <c r="P45" t="s">
        <v>229</v>
      </c>
      <c r="Q45">
        <v>1</v>
      </c>
      <c r="W45">
        <v>0</v>
      </c>
      <c r="X45">
        <v>1188625873</v>
      </c>
      <c r="Y45">
        <v>0.08</v>
      </c>
      <c r="AA45">
        <v>0</v>
      </c>
      <c r="AB45">
        <v>31.26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6</v>
      </c>
      <c r="AT45">
        <v>0.08</v>
      </c>
      <c r="AU45" t="s">
        <v>6</v>
      </c>
      <c r="AV45">
        <v>0</v>
      </c>
      <c r="AW45">
        <v>2</v>
      </c>
      <c r="AX45">
        <v>16497080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8.9600000000000013E-2</v>
      </c>
      <c r="CY45">
        <f>AB45</f>
        <v>31.26</v>
      </c>
      <c r="CZ45">
        <f>AF45</f>
        <v>31.26</v>
      </c>
      <c r="DA45">
        <f>AJ45</f>
        <v>1</v>
      </c>
      <c r="DB45">
        <v>0</v>
      </c>
    </row>
    <row r="46" spans="1:106" x14ac:dyDescent="0.2">
      <c r="A46">
        <f>ROW(Source!A34)</f>
        <v>34</v>
      </c>
      <c r="B46">
        <v>16496956</v>
      </c>
      <c r="C46">
        <v>16497067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232</v>
      </c>
      <c r="J46" t="s">
        <v>233</v>
      </c>
      <c r="K46" t="s">
        <v>234</v>
      </c>
      <c r="L46">
        <v>1368</v>
      </c>
      <c r="N46">
        <v>1011</v>
      </c>
      <c r="O46" t="s">
        <v>229</v>
      </c>
      <c r="P46" t="s">
        <v>229</v>
      </c>
      <c r="Q46">
        <v>1</v>
      </c>
      <c r="W46">
        <v>0</v>
      </c>
      <c r="X46">
        <v>1372534845</v>
      </c>
      <c r="Y46">
        <v>0.04</v>
      </c>
      <c r="AA46">
        <v>0</v>
      </c>
      <c r="AB46">
        <v>65.709999999999994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0.04</v>
      </c>
      <c r="AU46" t="s">
        <v>6</v>
      </c>
      <c r="AV46">
        <v>0</v>
      </c>
      <c r="AW46">
        <v>2</v>
      </c>
      <c r="AX46">
        <v>16497081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4.4800000000000006E-2</v>
      </c>
      <c r="CY46">
        <f>AB46</f>
        <v>65.709999999999994</v>
      </c>
      <c r="CZ46">
        <f>AF46</f>
        <v>65.709999999999994</v>
      </c>
      <c r="DA46">
        <f>AJ46</f>
        <v>1</v>
      </c>
      <c r="DB46">
        <v>0</v>
      </c>
    </row>
    <row r="47" spans="1:106" x14ac:dyDescent="0.2">
      <c r="A47">
        <f>ROW(Source!A34)</f>
        <v>34</v>
      </c>
      <c r="B47">
        <v>16496956</v>
      </c>
      <c r="C47">
        <v>16497067</v>
      </c>
      <c r="D47">
        <v>15170039</v>
      </c>
      <c r="E47">
        <v>1</v>
      </c>
      <c r="F47">
        <v>1</v>
      </c>
      <c r="G47">
        <v>1</v>
      </c>
      <c r="H47">
        <v>3</v>
      </c>
      <c r="I47" t="s">
        <v>259</v>
      </c>
      <c r="J47" t="s">
        <v>260</v>
      </c>
      <c r="K47" t="s">
        <v>261</v>
      </c>
      <c r="L47">
        <v>1348</v>
      </c>
      <c r="N47">
        <v>1009</v>
      </c>
      <c r="O47" t="s">
        <v>83</v>
      </c>
      <c r="P47" t="s">
        <v>83</v>
      </c>
      <c r="Q47">
        <v>1000</v>
      </c>
      <c r="W47">
        <v>0</v>
      </c>
      <c r="X47">
        <v>1174701286</v>
      </c>
      <c r="Y47">
        <v>4.0000000000000001E-3</v>
      </c>
      <c r="AA47">
        <v>11978</v>
      </c>
      <c r="AB47">
        <v>0</v>
      </c>
      <c r="AC47">
        <v>0</v>
      </c>
      <c r="AD47">
        <v>0</v>
      </c>
      <c r="AE47">
        <v>11978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4.0000000000000001E-3</v>
      </c>
      <c r="AU47" t="s">
        <v>6</v>
      </c>
      <c r="AV47">
        <v>0</v>
      </c>
      <c r="AW47">
        <v>2</v>
      </c>
      <c r="AX47">
        <v>16497083</v>
      </c>
      <c r="AY47">
        <v>1</v>
      </c>
      <c r="AZ47">
        <v>0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4.4800000000000005E-3</v>
      </c>
      <c r="CY47">
        <f>AA47</f>
        <v>11978</v>
      </c>
      <c r="CZ47">
        <f>AE47</f>
        <v>11978</v>
      </c>
      <c r="DA47">
        <f>AI47</f>
        <v>1</v>
      </c>
      <c r="DB47">
        <v>0</v>
      </c>
    </row>
    <row r="48" spans="1:106" x14ac:dyDescent="0.2">
      <c r="A48">
        <f>ROW(Source!A34)</f>
        <v>34</v>
      </c>
      <c r="B48">
        <v>16496956</v>
      </c>
      <c r="C48">
        <v>16497067</v>
      </c>
      <c r="D48">
        <v>15191139</v>
      </c>
      <c r="E48">
        <v>1</v>
      </c>
      <c r="F48">
        <v>1</v>
      </c>
      <c r="G48">
        <v>1</v>
      </c>
      <c r="H48">
        <v>3</v>
      </c>
      <c r="I48" t="s">
        <v>262</v>
      </c>
      <c r="J48" t="s">
        <v>263</v>
      </c>
      <c r="K48" t="s">
        <v>264</v>
      </c>
      <c r="L48">
        <v>1348</v>
      </c>
      <c r="N48">
        <v>1009</v>
      </c>
      <c r="O48" t="s">
        <v>83</v>
      </c>
      <c r="P48" t="s">
        <v>83</v>
      </c>
      <c r="Q48">
        <v>1000</v>
      </c>
      <c r="W48">
        <v>0</v>
      </c>
      <c r="X48">
        <v>-740471490</v>
      </c>
      <c r="Y48">
        <v>6.0000000000000001E-3</v>
      </c>
      <c r="AA48">
        <v>8023</v>
      </c>
      <c r="AB48">
        <v>0</v>
      </c>
      <c r="AC48">
        <v>0</v>
      </c>
      <c r="AD48">
        <v>0</v>
      </c>
      <c r="AE48">
        <v>8023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6.0000000000000001E-3</v>
      </c>
      <c r="AU48" t="s">
        <v>6</v>
      </c>
      <c r="AV48">
        <v>0</v>
      </c>
      <c r="AW48">
        <v>2</v>
      </c>
      <c r="AX48">
        <v>16497084</v>
      </c>
      <c r="AY48">
        <v>1</v>
      </c>
      <c r="AZ48">
        <v>0</v>
      </c>
      <c r="BA48">
        <v>49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6.7200000000000011E-3</v>
      </c>
      <c r="CY48">
        <f>AA48</f>
        <v>8023</v>
      </c>
      <c r="CZ48">
        <f>AE48</f>
        <v>8023</v>
      </c>
      <c r="DA48">
        <f>AI48</f>
        <v>1</v>
      </c>
      <c r="DB48">
        <v>0</v>
      </c>
    </row>
    <row r="49" spans="1:106" x14ac:dyDescent="0.2">
      <c r="A49">
        <f>ROW(Source!A34)</f>
        <v>34</v>
      </c>
      <c r="B49">
        <v>16496956</v>
      </c>
      <c r="C49">
        <v>16497067</v>
      </c>
      <c r="D49">
        <v>0</v>
      </c>
      <c r="E49">
        <v>0</v>
      </c>
      <c r="F49">
        <v>1</v>
      </c>
      <c r="G49">
        <v>1</v>
      </c>
      <c r="H49">
        <v>3</v>
      </c>
      <c r="I49" t="s">
        <v>31</v>
      </c>
      <c r="J49" t="s">
        <v>6</v>
      </c>
      <c r="K49" t="s">
        <v>53</v>
      </c>
      <c r="L49">
        <v>1301</v>
      </c>
      <c r="N49">
        <v>1003</v>
      </c>
      <c r="O49" t="s">
        <v>43</v>
      </c>
      <c r="P49" t="s">
        <v>43</v>
      </c>
      <c r="Q49">
        <v>1</v>
      </c>
      <c r="W49">
        <v>0</v>
      </c>
      <c r="X49">
        <v>-1929252935</v>
      </c>
      <c r="Y49">
        <v>100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100</v>
      </c>
      <c r="AU49" t="s">
        <v>6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112.00000000000001</v>
      </c>
      <c r="CY49">
        <f>AA49</f>
        <v>0</v>
      </c>
      <c r="CZ49">
        <f>AE49</f>
        <v>0</v>
      </c>
      <c r="DA49">
        <f>AI49</f>
        <v>1</v>
      </c>
      <c r="DB49">
        <v>0</v>
      </c>
    </row>
    <row r="50" spans="1:106" x14ac:dyDescent="0.2">
      <c r="A50">
        <f>ROW(Source!A35)</f>
        <v>35</v>
      </c>
      <c r="B50">
        <v>16497268</v>
      </c>
      <c r="C50">
        <v>16497067</v>
      </c>
      <c r="D50">
        <v>15430767</v>
      </c>
      <c r="E50">
        <v>1</v>
      </c>
      <c r="F50">
        <v>1</v>
      </c>
      <c r="G50">
        <v>1</v>
      </c>
      <c r="H50">
        <v>1</v>
      </c>
      <c r="I50" t="s">
        <v>257</v>
      </c>
      <c r="J50" t="s">
        <v>6</v>
      </c>
      <c r="K50" t="s">
        <v>258</v>
      </c>
      <c r="L50">
        <v>1191</v>
      </c>
      <c r="N50">
        <v>1013</v>
      </c>
      <c r="O50" t="s">
        <v>223</v>
      </c>
      <c r="P50" t="s">
        <v>223</v>
      </c>
      <c r="Q50">
        <v>1</v>
      </c>
      <c r="W50">
        <v>0</v>
      </c>
      <c r="X50">
        <v>-400197608</v>
      </c>
      <c r="Y50">
        <v>41.41</v>
      </c>
      <c r="AA50">
        <v>0</v>
      </c>
      <c r="AB50">
        <v>0</v>
      </c>
      <c r="AC50">
        <v>0</v>
      </c>
      <c r="AD50">
        <v>56.04</v>
      </c>
      <c r="AE50">
        <v>0</v>
      </c>
      <c r="AF50">
        <v>0</v>
      </c>
      <c r="AG50">
        <v>0</v>
      </c>
      <c r="AH50">
        <v>8.5299999999999994</v>
      </c>
      <c r="AI50">
        <v>1</v>
      </c>
      <c r="AJ50">
        <v>1</v>
      </c>
      <c r="AK50">
        <v>1</v>
      </c>
      <c r="AL50">
        <v>6.57</v>
      </c>
      <c r="AN50">
        <v>0</v>
      </c>
      <c r="AO50">
        <v>1</v>
      </c>
      <c r="AP50">
        <v>0</v>
      </c>
      <c r="AQ50">
        <v>0</v>
      </c>
      <c r="AR50">
        <v>0</v>
      </c>
      <c r="AS50" t="s">
        <v>6</v>
      </c>
      <c r="AT50">
        <v>41.41</v>
      </c>
      <c r="AU50" t="s">
        <v>6</v>
      </c>
      <c r="AV50">
        <v>1</v>
      </c>
      <c r="AW50">
        <v>2</v>
      </c>
      <c r="AX50">
        <v>16497078</v>
      </c>
      <c r="AY50">
        <v>1</v>
      </c>
      <c r="AZ50">
        <v>0</v>
      </c>
      <c r="BA50">
        <v>51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Y50*Source!I35</f>
        <v>46.379199999999997</v>
      </c>
      <c r="CY50">
        <f>AD50</f>
        <v>56.04</v>
      </c>
      <c r="CZ50">
        <f>AH50</f>
        <v>8.5299999999999994</v>
      </c>
      <c r="DA50">
        <f>AL50</f>
        <v>6.57</v>
      </c>
      <c r="DB50">
        <v>0</v>
      </c>
    </row>
    <row r="51" spans="1:106" x14ac:dyDescent="0.2">
      <c r="A51">
        <f>ROW(Source!A35)</f>
        <v>35</v>
      </c>
      <c r="B51">
        <v>16497268</v>
      </c>
      <c r="C51">
        <v>16497067</v>
      </c>
      <c r="D51">
        <v>15430395</v>
      </c>
      <c r="E51">
        <v>1</v>
      </c>
      <c r="F51">
        <v>1</v>
      </c>
      <c r="G51">
        <v>1</v>
      </c>
      <c r="H51">
        <v>1</v>
      </c>
      <c r="I51" t="s">
        <v>224</v>
      </c>
      <c r="J51" t="s">
        <v>6</v>
      </c>
      <c r="K51" t="s">
        <v>225</v>
      </c>
      <c r="L51">
        <v>1191</v>
      </c>
      <c r="N51">
        <v>1013</v>
      </c>
      <c r="O51" t="s">
        <v>223</v>
      </c>
      <c r="P51" t="s">
        <v>223</v>
      </c>
      <c r="Q51">
        <v>1</v>
      </c>
      <c r="W51">
        <v>0</v>
      </c>
      <c r="X51">
        <v>-1417349443</v>
      </c>
      <c r="Y51">
        <v>0.12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6.57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6</v>
      </c>
      <c r="AT51">
        <v>0.12</v>
      </c>
      <c r="AU51" t="s">
        <v>6</v>
      </c>
      <c r="AV51">
        <v>2</v>
      </c>
      <c r="AW51">
        <v>2</v>
      </c>
      <c r="AX51">
        <v>16497079</v>
      </c>
      <c r="AY51">
        <v>1</v>
      </c>
      <c r="AZ51">
        <v>0</v>
      </c>
      <c r="BA51">
        <v>52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0.13440000000000002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ROW(Source!A35)</f>
        <v>35</v>
      </c>
      <c r="B52">
        <v>16497268</v>
      </c>
      <c r="C52">
        <v>16497067</v>
      </c>
      <c r="D52">
        <v>15247974</v>
      </c>
      <c r="E52">
        <v>1</v>
      </c>
      <c r="F52">
        <v>1</v>
      </c>
      <c r="G52">
        <v>1</v>
      </c>
      <c r="H52">
        <v>2</v>
      </c>
      <c r="I52" t="s">
        <v>226</v>
      </c>
      <c r="J52" t="s">
        <v>227</v>
      </c>
      <c r="K52" t="s">
        <v>228</v>
      </c>
      <c r="L52">
        <v>1368</v>
      </c>
      <c r="N52">
        <v>1011</v>
      </c>
      <c r="O52" t="s">
        <v>229</v>
      </c>
      <c r="P52" t="s">
        <v>229</v>
      </c>
      <c r="Q52">
        <v>1</v>
      </c>
      <c r="W52">
        <v>0</v>
      </c>
      <c r="X52">
        <v>1188625873</v>
      </c>
      <c r="Y52">
        <v>0.08</v>
      </c>
      <c r="AA52">
        <v>0</v>
      </c>
      <c r="AB52">
        <v>205.38</v>
      </c>
      <c r="AC52">
        <v>13.5</v>
      </c>
      <c r="AD52">
        <v>0</v>
      </c>
      <c r="AE52">
        <v>0</v>
      </c>
      <c r="AF52">
        <v>31.26</v>
      </c>
      <c r="AG52">
        <v>13.5</v>
      </c>
      <c r="AH52">
        <v>0</v>
      </c>
      <c r="AI52">
        <v>1</v>
      </c>
      <c r="AJ52">
        <v>6.57</v>
      </c>
      <c r="AK52">
        <v>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0.08</v>
      </c>
      <c r="AU52" t="s">
        <v>6</v>
      </c>
      <c r="AV52">
        <v>0</v>
      </c>
      <c r="AW52">
        <v>2</v>
      </c>
      <c r="AX52">
        <v>16497080</v>
      </c>
      <c r="AY52">
        <v>1</v>
      </c>
      <c r="AZ52">
        <v>0</v>
      </c>
      <c r="BA52">
        <v>53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8.9600000000000013E-2</v>
      </c>
      <c r="CY52">
        <f>AB52</f>
        <v>205.38</v>
      </c>
      <c r="CZ52">
        <f>AF52</f>
        <v>31.26</v>
      </c>
      <c r="DA52">
        <f>AJ52</f>
        <v>6.57</v>
      </c>
      <c r="DB52">
        <v>0</v>
      </c>
    </row>
    <row r="53" spans="1:106" x14ac:dyDescent="0.2">
      <c r="A53">
        <f>ROW(Source!A35)</f>
        <v>35</v>
      </c>
      <c r="B53">
        <v>16497268</v>
      </c>
      <c r="C53">
        <v>16497067</v>
      </c>
      <c r="D53">
        <v>15249073</v>
      </c>
      <c r="E53">
        <v>1</v>
      </c>
      <c r="F53">
        <v>1</v>
      </c>
      <c r="G53">
        <v>1</v>
      </c>
      <c r="H53">
        <v>2</v>
      </c>
      <c r="I53" t="s">
        <v>232</v>
      </c>
      <c r="J53" t="s">
        <v>233</v>
      </c>
      <c r="K53" t="s">
        <v>234</v>
      </c>
      <c r="L53">
        <v>1368</v>
      </c>
      <c r="N53">
        <v>1011</v>
      </c>
      <c r="O53" t="s">
        <v>229</v>
      </c>
      <c r="P53" t="s">
        <v>229</v>
      </c>
      <c r="Q53">
        <v>1</v>
      </c>
      <c r="W53">
        <v>0</v>
      </c>
      <c r="X53">
        <v>1372534845</v>
      </c>
      <c r="Y53">
        <v>0.04</v>
      </c>
      <c r="AA53">
        <v>0</v>
      </c>
      <c r="AB53">
        <v>431.71</v>
      </c>
      <c r="AC53">
        <v>11.6</v>
      </c>
      <c r="AD53">
        <v>0</v>
      </c>
      <c r="AE53">
        <v>0</v>
      </c>
      <c r="AF53">
        <v>65.709999999999994</v>
      </c>
      <c r="AG53">
        <v>11.6</v>
      </c>
      <c r="AH53">
        <v>0</v>
      </c>
      <c r="AI53">
        <v>1</v>
      </c>
      <c r="AJ53">
        <v>6.57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0.04</v>
      </c>
      <c r="AU53" t="s">
        <v>6</v>
      </c>
      <c r="AV53">
        <v>0</v>
      </c>
      <c r="AW53">
        <v>2</v>
      </c>
      <c r="AX53">
        <v>16497081</v>
      </c>
      <c r="AY53">
        <v>1</v>
      </c>
      <c r="AZ53">
        <v>0</v>
      </c>
      <c r="BA53">
        <v>54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4.4800000000000006E-2</v>
      </c>
      <c r="CY53">
        <f>AB53</f>
        <v>431.71</v>
      </c>
      <c r="CZ53">
        <f>AF53</f>
        <v>65.709999999999994</v>
      </c>
      <c r="DA53">
        <f>AJ53</f>
        <v>6.57</v>
      </c>
      <c r="DB53">
        <v>0</v>
      </c>
    </row>
    <row r="54" spans="1:106" x14ac:dyDescent="0.2">
      <c r="A54">
        <f>ROW(Source!A35)</f>
        <v>35</v>
      </c>
      <c r="B54">
        <v>16497268</v>
      </c>
      <c r="C54">
        <v>16497067</v>
      </c>
      <c r="D54">
        <v>15170039</v>
      </c>
      <c r="E54">
        <v>1</v>
      </c>
      <c r="F54">
        <v>1</v>
      </c>
      <c r="G54">
        <v>1</v>
      </c>
      <c r="H54">
        <v>3</v>
      </c>
      <c r="I54" t="s">
        <v>259</v>
      </c>
      <c r="J54" t="s">
        <v>260</v>
      </c>
      <c r="K54" t="s">
        <v>261</v>
      </c>
      <c r="L54">
        <v>1348</v>
      </c>
      <c r="N54">
        <v>1009</v>
      </c>
      <c r="O54" t="s">
        <v>83</v>
      </c>
      <c r="P54" t="s">
        <v>83</v>
      </c>
      <c r="Q54">
        <v>1000</v>
      </c>
      <c r="W54">
        <v>0</v>
      </c>
      <c r="X54">
        <v>1174701286</v>
      </c>
      <c r="Y54">
        <v>4.0000000000000001E-3</v>
      </c>
      <c r="AA54">
        <v>78695.460000000006</v>
      </c>
      <c r="AB54">
        <v>0</v>
      </c>
      <c r="AC54">
        <v>0</v>
      </c>
      <c r="AD54">
        <v>0</v>
      </c>
      <c r="AE54">
        <v>11978</v>
      </c>
      <c r="AF54">
        <v>0</v>
      </c>
      <c r="AG54">
        <v>0</v>
      </c>
      <c r="AH54">
        <v>0</v>
      </c>
      <c r="AI54">
        <v>6.57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4.0000000000000001E-3</v>
      </c>
      <c r="AU54" t="s">
        <v>6</v>
      </c>
      <c r="AV54">
        <v>0</v>
      </c>
      <c r="AW54">
        <v>2</v>
      </c>
      <c r="AX54">
        <v>16497083</v>
      </c>
      <c r="AY54">
        <v>1</v>
      </c>
      <c r="AZ54">
        <v>0</v>
      </c>
      <c r="BA54">
        <v>56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4.4800000000000005E-3</v>
      </c>
      <c r="CY54">
        <f>AA54</f>
        <v>78695.460000000006</v>
      </c>
      <c r="CZ54">
        <f>AE54</f>
        <v>11978</v>
      </c>
      <c r="DA54">
        <f>AI54</f>
        <v>6.57</v>
      </c>
      <c r="DB54">
        <v>0</v>
      </c>
    </row>
    <row r="55" spans="1:106" x14ac:dyDescent="0.2">
      <c r="A55">
        <f>ROW(Source!A35)</f>
        <v>35</v>
      </c>
      <c r="B55">
        <v>16497268</v>
      </c>
      <c r="C55">
        <v>16497067</v>
      </c>
      <c r="D55">
        <v>15191139</v>
      </c>
      <c r="E55">
        <v>1</v>
      </c>
      <c r="F55">
        <v>1</v>
      </c>
      <c r="G55">
        <v>1</v>
      </c>
      <c r="H55">
        <v>3</v>
      </c>
      <c r="I55" t="s">
        <v>262</v>
      </c>
      <c r="J55" t="s">
        <v>263</v>
      </c>
      <c r="K55" t="s">
        <v>264</v>
      </c>
      <c r="L55">
        <v>1348</v>
      </c>
      <c r="N55">
        <v>1009</v>
      </c>
      <c r="O55" t="s">
        <v>83</v>
      </c>
      <c r="P55" t="s">
        <v>83</v>
      </c>
      <c r="Q55">
        <v>1000</v>
      </c>
      <c r="W55">
        <v>0</v>
      </c>
      <c r="X55">
        <v>-740471490</v>
      </c>
      <c r="Y55">
        <v>6.0000000000000001E-3</v>
      </c>
      <c r="AA55">
        <v>52711.11</v>
      </c>
      <c r="AB55">
        <v>0</v>
      </c>
      <c r="AC55">
        <v>0</v>
      </c>
      <c r="AD55">
        <v>0</v>
      </c>
      <c r="AE55">
        <v>8023</v>
      </c>
      <c r="AF55">
        <v>0</v>
      </c>
      <c r="AG55">
        <v>0</v>
      </c>
      <c r="AH55">
        <v>0</v>
      </c>
      <c r="AI55">
        <v>6.57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6.0000000000000001E-3</v>
      </c>
      <c r="AU55" t="s">
        <v>6</v>
      </c>
      <c r="AV55">
        <v>0</v>
      </c>
      <c r="AW55">
        <v>2</v>
      </c>
      <c r="AX55">
        <v>16497084</v>
      </c>
      <c r="AY55">
        <v>1</v>
      </c>
      <c r="AZ55">
        <v>0</v>
      </c>
      <c r="BA55">
        <v>57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6.7200000000000011E-3</v>
      </c>
      <c r="CY55">
        <f>AA55</f>
        <v>52711.11</v>
      </c>
      <c r="CZ55">
        <f>AE55</f>
        <v>8023</v>
      </c>
      <c r="DA55">
        <f>AI55</f>
        <v>6.57</v>
      </c>
      <c r="DB55">
        <v>0</v>
      </c>
    </row>
    <row r="56" spans="1:106" x14ac:dyDescent="0.2">
      <c r="A56">
        <f>ROW(Source!A35)</f>
        <v>35</v>
      </c>
      <c r="B56">
        <v>16497268</v>
      </c>
      <c r="C56">
        <v>16497067</v>
      </c>
      <c r="D56">
        <v>0</v>
      </c>
      <c r="E56">
        <v>0</v>
      </c>
      <c r="F56">
        <v>1</v>
      </c>
      <c r="G56">
        <v>1</v>
      </c>
      <c r="H56">
        <v>3</v>
      </c>
      <c r="I56" t="s">
        <v>31</v>
      </c>
      <c r="J56" t="s">
        <v>6</v>
      </c>
      <c r="K56" t="s">
        <v>53</v>
      </c>
      <c r="L56">
        <v>1301</v>
      </c>
      <c r="N56">
        <v>1003</v>
      </c>
      <c r="O56" t="s">
        <v>43</v>
      </c>
      <c r="P56" t="s">
        <v>43</v>
      </c>
      <c r="Q56">
        <v>1</v>
      </c>
      <c r="W56">
        <v>0</v>
      </c>
      <c r="X56">
        <v>-1929252935</v>
      </c>
      <c r="Y56">
        <v>100</v>
      </c>
      <c r="AA56">
        <v>188.16</v>
      </c>
      <c r="AB56">
        <v>0</v>
      </c>
      <c r="AC56">
        <v>0</v>
      </c>
      <c r="AD56">
        <v>0</v>
      </c>
      <c r="AE56">
        <v>28.64</v>
      </c>
      <c r="AF56">
        <v>0</v>
      </c>
      <c r="AG56">
        <v>0</v>
      </c>
      <c r="AH56">
        <v>0</v>
      </c>
      <c r="AI56">
        <v>6.57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100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112.00000000000001</v>
      </c>
      <c r="CY56">
        <f>AA56</f>
        <v>188.16</v>
      </c>
      <c r="CZ56">
        <f>AE56</f>
        <v>28.64</v>
      </c>
      <c r="DA56">
        <f>AI56</f>
        <v>6.57</v>
      </c>
      <c r="DB56">
        <v>0</v>
      </c>
    </row>
    <row r="57" spans="1:106" x14ac:dyDescent="0.2">
      <c r="A57">
        <f>ROW(Source!A38)</f>
        <v>38</v>
      </c>
      <c r="B57">
        <v>16496956</v>
      </c>
      <c r="C57">
        <v>16497090</v>
      </c>
      <c r="D57">
        <v>15438286</v>
      </c>
      <c r="E57">
        <v>1</v>
      </c>
      <c r="F57">
        <v>1</v>
      </c>
      <c r="G57">
        <v>1</v>
      </c>
      <c r="H57">
        <v>1</v>
      </c>
      <c r="I57" t="s">
        <v>265</v>
      </c>
      <c r="J57" t="s">
        <v>6</v>
      </c>
      <c r="K57" t="s">
        <v>266</v>
      </c>
      <c r="L57">
        <v>1191</v>
      </c>
      <c r="N57">
        <v>1013</v>
      </c>
      <c r="O57" t="s">
        <v>223</v>
      </c>
      <c r="P57" t="s">
        <v>223</v>
      </c>
      <c r="Q57">
        <v>1</v>
      </c>
      <c r="W57">
        <v>0</v>
      </c>
      <c r="X57">
        <v>-1027537862</v>
      </c>
      <c r="Y57">
        <v>166.47</v>
      </c>
      <c r="AA57">
        <v>0</v>
      </c>
      <c r="AB57">
        <v>0</v>
      </c>
      <c r="AC57">
        <v>0</v>
      </c>
      <c r="AD57">
        <v>9.18</v>
      </c>
      <c r="AE57">
        <v>0</v>
      </c>
      <c r="AF57">
        <v>0</v>
      </c>
      <c r="AG57">
        <v>0</v>
      </c>
      <c r="AH57">
        <v>9.18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166.47</v>
      </c>
      <c r="AU57" t="s">
        <v>6</v>
      </c>
      <c r="AV57">
        <v>1</v>
      </c>
      <c r="AW57">
        <v>2</v>
      </c>
      <c r="AX57">
        <v>16497102</v>
      </c>
      <c r="AY57">
        <v>1</v>
      </c>
      <c r="AZ57">
        <v>0</v>
      </c>
      <c r="BA57">
        <v>59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Y57*Source!I38</f>
        <v>247.17465599999997</v>
      </c>
      <c r="CY57">
        <f>AD57</f>
        <v>9.18</v>
      </c>
      <c r="CZ57">
        <f>AH57</f>
        <v>9.18</v>
      </c>
      <c r="DA57">
        <f>AL57</f>
        <v>1</v>
      </c>
      <c r="DB57">
        <v>0</v>
      </c>
    </row>
    <row r="58" spans="1:106" x14ac:dyDescent="0.2">
      <c r="A58">
        <f>ROW(Source!A38)</f>
        <v>38</v>
      </c>
      <c r="B58">
        <v>16496956</v>
      </c>
      <c r="C58">
        <v>16497090</v>
      </c>
      <c r="D58">
        <v>15430395</v>
      </c>
      <c r="E58">
        <v>1</v>
      </c>
      <c r="F58">
        <v>1</v>
      </c>
      <c r="G58">
        <v>1</v>
      </c>
      <c r="H58">
        <v>1</v>
      </c>
      <c r="I58" t="s">
        <v>224</v>
      </c>
      <c r="J58" t="s">
        <v>6</v>
      </c>
      <c r="K58" t="s">
        <v>225</v>
      </c>
      <c r="L58">
        <v>1191</v>
      </c>
      <c r="N58">
        <v>1013</v>
      </c>
      <c r="O58" t="s">
        <v>223</v>
      </c>
      <c r="P58" t="s">
        <v>223</v>
      </c>
      <c r="Q58">
        <v>1</v>
      </c>
      <c r="W58">
        <v>0</v>
      </c>
      <c r="X58">
        <v>-1417349443</v>
      </c>
      <c r="Y58">
        <v>0.57999999999999996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0.57999999999999996</v>
      </c>
      <c r="AU58" t="s">
        <v>6</v>
      </c>
      <c r="AV58">
        <v>2</v>
      </c>
      <c r="AW58">
        <v>2</v>
      </c>
      <c r="AX58">
        <v>16497103</v>
      </c>
      <c r="AY58">
        <v>1</v>
      </c>
      <c r="AZ58">
        <v>0</v>
      </c>
      <c r="BA58">
        <v>60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Y58*Source!I38</f>
        <v>0.86118399999999984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ROW(Source!A38)</f>
        <v>38</v>
      </c>
      <c r="B59">
        <v>16496956</v>
      </c>
      <c r="C59">
        <v>16497090</v>
      </c>
      <c r="D59">
        <v>15247974</v>
      </c>
      <c r="E59">
        <v>1</v>
      </c>
      <c r="F59">
        <v>1</v>
      </c>
      <c r="G59">
        <v>1</v>
      </c>
      <c r="H59">
        <v>2</v>
      </c>
      <c r="I59" t="s">
        <v>226</v>
      </c>
      <c r="J59" t="s">
        <v>227</v>
      </c>
      <c r="K59" t="s">
        <v>228</v>
      </c>
      <c r="L59">
        <v>1368</v>
      </c>
      <c r="N59">
        <v>1011</v>
      </c>
      <c r="O59" t="s">
        <v>229</v>
      </c>
      <c r="P59" t="s">
        <v>229</v>
      </c>
      <c r="Q59">
        <v>1</v>
      </c>
      <c r="W59">
        <v>0</v>
      </c>
      <c r="X59">
        <v>1188625873</v>
      </c>
      <c r="Y59">
        <v>0.08</v>
      </c>
      <c r="AA59">
        <v>0</v>
      </c>
      <c r="AB59">
        <v>31.26</v>
      </c>
      <c r="AC59">
        <v>13.5</v>
      </c>
      <c r="AD59">
        <v>0</v>
      </c>
      <c r="AE59">
        <v>0</v>
      </c>
      <c r="AF59">
        <v>31.26</v>
      </c>
      <c r="AG59">
        <v>13.5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6</v>
      </c>
      <c r="AT59">
        <v>0.08</v>
      </c>
      <c r="AU59" t="s">
        <v>6</v>
      </c>
      <c r="AV59">
        <v>0</v>
      </c>
      <c r="AW59">
        <v>2</v>
      </c>
      <c r="AX59">
        <v>16497104</v>
      </c>
      <c r="AY59">
        <v>1</v>
      </c>
      <c r="AZ59">
        <v>0</v>
      </c>
      <c r="BA59">
        <v>61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Y59*Source!I38</f>
        <v>0.118784</v>
      </c>
      <c r="CY59">
        <f>AB59</f>
        <v>31.26</v>
      </c>
      <c r="CZ59">
        <f>AF59</f>
        <v>31.26</v>
      </c>
      <c r="DA59">
        <f>AJ59</f>
        <v>1</v>
      </c>
      <c r="DB59">
        <v>0</v>
      </c>
    </row>
    <row r="60" spans="1:106" x14ac:dyDescent="0.2">
      <c r="A60">
        <f>ROW(Source!A38)</f>
        <v>38</v>
      </c>
      <c r="B60">
        <v>16496956</v>
      </c>
      <c r="C60">
        <v>16497090</v>
      </c>
      <c r="D60">
        <v>15249073</v>
      </c>
      <c r="E60">
        <v>1</v>
      </c>
      <c r="F60">
        <v>1</v>
      </c>
      <c r="G60">
        <v>1</v>
      </c>
      <c r="H60">
        <v>2</v>
      </c>
      <c r="I60" t="s">
        <v>232</v>
      </c>
      <c r="J60" t="s">
        <v>233</v>
      </c>
      <c r="K60" t="s">
        <v>234</v>
      </c>
      <c r="L60">
        <v>1368</v>
      </c>
      <c r="N60">
        <v>1011</v>
      </c>
      <c r="O60" t="s">
        <v>229</v>
      </c>
      <c r="P60" t="s">
        <v>229</v>
      </c>
      <c r="Q60">
        <v>1</v>
      </c>
      <c r="W60">
        <v>0</v>
      </c>
      <c r="X60">
        <v>1372534845</v>
      </c>
      <c r="Y60">
        <v>0.5</v>
      </c>
      <c r="AA60">
        <v>0</v>
      </c>
      <c r="AB60">
        <v>65.709999999999994</v>
      </c>
      <c r="AC60">
        <v>11.6</v>
      </c>
      <c r="AD60">
        <v>0</v>
      </c>
      <c r="AE60">
        <v>0</v>
      </c>
      <c r="AF60">
        <v>65.709999999999994</v>
      </c>
      <c r="AG60">
        <v>11.6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0.5</v>
      </c>
      <c r="AU60" t="s">
        <v>6</v>
      </c>
      <c r="AV60">
        <v>0</v>
      </c>
      <c r="AW60">
        <v>2</v>
      </c>
      <c r="AX60">
        <v>16497105</v>
      </c>
      <c r="AY60">
        <v>1</v>
      </c>
      <c r="AZ60">
        <v>0</v>
      </c>
      <c r="BA60">
        <v>62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Y60*Source!I38</f>
        <v>0.74239999999999995</v>
      </c>
      <c r="CY60">
        <f>AB60</f>
        <v>65.709999999999994</v>
      </c>
      <c r="CZ60">
        <f>AF60</f>
        <v>65.709999999999994</v>
      </c>
      <c r="DA60">
        <f>AJ60</f>
        <v>1</v>
      </c>
      <c r="DB60">
        <v>0</v>
      </c>
    </row>
    <row r="61" spans="1:106" x14ac:dyDescent="0.2">
      <c r="A61">
        <f>ROW(Source!A38)</f>
        <v>38</v>
      </c>
      <c r="B61">
        <v>16496956</v>
      </c>
      <c r="C61">
        <v>16497090</v>
      </c>
      <c r="D61">
        <v>15162966</v>
      </c>
      <c r="E61">
        <v>17</v>
      </c>
      <c r="F61">
        <v>1</v>
      </c>
      <c r="G61">
        <v>1</v>
      </c>
      <c r="H61">
        <v>3</v>
      </c>
      <c r="I61" t="s">
        <v>62</v>
      </c>
      <c r="J61" t="s">
        <v>6</v>
      </c>
      <c r="K61" t="s">
        <v>63</v>
      </c>
      <c r="L61">
        <v>1327</v>
      </c>
      <c r="N61">
        <v>1005</v>
      </c>
      <c r="O61" t="s">
        <v>33</v>
      </c>
      <c r="P61" t="s">
        <v>33</v>
      </c>
      <c r="Q61">
        <v>1</v>
      </c>
      <c r="W61">
        <v>0</v>
      </c>
      <c r="X61">
        <v>-112006704</v>
      </c>
      <c r="Y61">
        <v>105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0</v>
      </c>
      <c r="AP61">
        <v>0</v>
      </c>
      <c r="AQ61">
        <v>0</v>
      </c>
      <c r="AR61">
        <v>0</v>
      </c>
      <c r="AS61" t="s">
        <v>6</v>
      </c>
      <c r="AT61">
        <v>105</v>
      </c>
      <c r="AU61" t="s">
        <v>6</v>
      </c>
      <c r="AV61">
        <v>0</v>
      </c>
      <c r="AW61">
        <v>2</v>
      </c>
      <c r="AX61">
        <v>16497106</v>
      </c>
      <c r="AY61">
        <v>1</v>
      </c>
      <c r="AZ61">
        <v>0</v>
      </c>
      <c r="BA61">
        <v>63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Y61*Source!I38</f>
        <v>155.904</v>
      </c>
      <c r="CY61">
        <f t="shared" ref="CY61:CY67" si="6">AA61</f>
        <v>0</v>
      </c>
      <c r="CZ61">
        <f t="shared" ref="CZ61:CZ67" si="7">AE61</f>
        <v>0</v>
      </c>
      <c r="DA61">
        <f t="shared" ref="DA61:DA67" si="8">AI61</f>
        <v>1</v>
      </c>
      <c r="DB61">
        <v>0</v>
      </c>
    </row>
    <row r="62" spans="1:106" x14ac:dyDescent="0.2">
      <c r="A62">
        <f>ROW(Source!A38)</f>
        <v>38</v>
      </c>
      <c r="B62">
        <v>16496956</v>
      </c>
      <c r="C62">
        <v>16497090</v>
      </c>
      <c r="D62">
        <v>15171018</v>
      </c>
      <c r="E62">
        <v>1</v>
      </c>
      <c r="F62">
        <v>1</v>
      </c>
      <c r="G62">
        <v>1</v>
      </c>
      <c r="H62">
        <v>3</v>
      </c>
      <c r="I62" t="s">
        <v>267</v>
      </c>
      <c r="J62" t="s">
        <v>268</v>
      </c>
      <c r="K62" t="s">
        <v>269</v>
      </c>
      <c r="L62">
        <v>1346</v>
      </c>
      <c r="N62">
        <v>1009</v>
      </c>
      <c r="O62" t="s">
        <v>71</v>
      </c>
      <c r="P62" t="s">
        <v>71</v>
      </c>
      <c r="Q62">
        <v>1</v>
      </c>
      <c r="W62">
        <v>0</v>
      </c>
      <c r="X62">
        <v>813963326</v>
      </c>
      <c r="Y62">
        <v>0.2</v>
      </c>
      <c r="AA62">
        <v>1.82</v>
      </c>
      <c r="AB62">
        <v>0</v>
      </c>
      <c r="AC62">
        <v>0</v>
      </c>
      <c r="AD62">
        <v>0</v>
      </c>
      <c r="AE62">
        <v>1.82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0.2</v>
      </c>
      <c r="AU62" t="s">
        <v>6</v>
      </c>
      <c r="AV62">
        <v>0</v>
      </c>
      <c r="AW62">
        <v>2</v>
      </c>
      <c r="AX62">
        <v>16497107</v>
      </c>
      <c r="AY62">
        <v>1</v>
      </c>
      <c r="AZ62">
        <v>0</v>
      </c>
      <c r="BA62">
        <v>64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Y62*Source!I38</f>
        <v>0.29696</v>
      </c>
      <c r="CY62">
        <f t="shared" si="6"/>
        <v>1.82</v>
      </c>
      <c r="CZ62">
        <f t="shared" si="7"/>
        <v>1.82</v>
      </c>
      <c r="DA62">
        <f t="shared" si="8"/>
        <v>1</v>
      </c>
      <c r="DB62">
        <v>0</v>
      </c>
    </row>
    <row r="63" spans="1:106" x14ac:dyDescent="0.2">
      <c r="A63">
        <f>ROW(Source!A38)</f>
        <v>38</v>
      </c>
      <c r="B63">
        <v>16496956</v>
      </c>
      <c r="C63">
        <v>16497090</v>
      </c>
      <c r="D63">
        <v>15197671</v>
      </c>
      <c r="E63">
        <v>1</v>
      </c>
      <c r="F63">
        <v>1</v>
      </c>
      <c r="G63">
        <v>1</v>
      </c>
      <c r="H63">
        <v>3</v>
      </c>
      <c r="I63" t="s">
        <v>65</v>
      </c>
      <c r="J63" t="s">
        <v>67</v>
      </c>
      <c r="K63" t="s">
        <v>66</v>
      </c>
      <c r="L63">
        <v>1327</v>
      </c>
      <c r="N63">
        <v>1005</v>
      </c>
      <c r="O63" t="s">
        <v>33</v>
      </c>
      <c r="P63" t="s">
        <v>33</v>
      </c>
      <c r="Q63">
        <v>1</v>
      </c>
      <c r="W63">
        <v>0</v>
      </c>
      <c r="X63">
        <v>-956992290</v>
      </c>
      <c r="Y63">
        <v>105</v>
      </c>
      <c r="AA63">
        <v>34.380000000000003</v>
      </c>
      <c r="AB63">
        <v>0</v>
      </c>
      <c r="AC63">
        <v>0</v>
      </c>
      <c r="AD63">
        <v>0</v>
      </c>
      <c r="AE63">
        <v>34.380000000000003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105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Y63*Source!I38</f>
        <v>155.904</v>
      </c>
      <c r="CY63">
        <f t="shared" si="6"/>
        <v>34.380000000000003</v>
      </c>
      <c r="CZ63">
        <f t="shared" si="7"/>
        <v>34.380000000000003</v>
      </c>
      <c r="DA63">
        <f t="shared" si="8"/>
        <v>1</v>
      </c>
      <c r="DB63">
        <v>0</v>
      </c>
    </row>
    <row r="64" spans="1:106" x14ac:dyDescent="0.2">
      <c r="A64">
        <f>ROW(Source!A38)</f>
        <v>38</v>
      </c>
      <c r="B64">
        <v>16496956</v>
      </c>
      <c r="C64">
        <v>16497090</v>
      </c>
      <c r="D64">
        <v>15202457</v>
      </c>
      <c r="E64">
        <v>1</v>
      </c>
      <c r="F64">
        <v>1</v>
      </c>
      <c r="G64">
        <v>1</v>
      </c>
      <c r="H64">
        <v>3</v>
      </c>
      <c r="I64" t="s">
        <v>73</v>
      </c>
      <c r="J64" t="s">
        <v>75</v>
      </c>
      <c r="K64" t="s">
        <v>74</v>
      </c>
      <c r="L64">
        <v>1346</v>
      </c>
      <c r="N64">
        <v>1009</v>
      </c>
      <c r="O64" t="s">
        <v>71</v>
      </c>
      <c r="P64" t="s">
        <v>71</v>
      </c>
      <c r="Q64">
        <v>1</v>
      </c>
      <c r="W64">
        <v>0</v>
      </c>
      <c r="X64">
        <v>1104462431</v>
      </c>
      <c r="Y64">
        <v>30</v>
      </c>
      <c r="AA64">
        <v>15.9</v>
      </c>
      <c r="AB64">
        <v>0</v>
      </c>
      <c r="AC64">
        <v>0</v>
      </c>
      <c r="AD64">
        <v>0</v>
      </c>
      <c r="AE64">
        <v>15.9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 t="s">
        <v>6</v>
      </c>
      <c r="AT64">
        <v>30</v>
      </c>
      <c r="AU64" t="s">
        <v>6</v>
      </c>
      <c r="AV64">
        <v>0</v>
      </c>
      <c r="AW64">
        <v>1</v>
      </c>
      <c r="AX64">
        <v>-1</v>
      </c>
      <c r="AY64">
        <v>0</v>
      </c>
      <c r="AZ64">
        <v>0</v>
      </c>
      <c r="BA64" t="s">
        <v>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Y64*Source!I38</f>
        <v>44.543999999999997</v>
      </c>
      <c r="CY64">
        <f t="shared" si="6"/>
        <v>15.9</v>
      </c>
      <c r="CZ64">
        <f t="shared" si="7"/>
        <v>15.9</v>
      </c>
      <c r="DA64">
        <f t="shared" si="8"/>
        <v>1</v>
      </c>
      <c r="DB64">
        <v>0</v>
      </c>
    </row>
    <row r="65" spans="1:106" x14ac:dyDescent="0.2">
      <c r="A65">
        <f>ROW(Source!A38)</f>
        <v>38</v>
      </c>
      <c r="B65">
        <v>16496956</v>
      </c>
      <c r="C65">
        <v>16497090</v>
      </c>
      <c r="D65">
        <v>15162257</v>
      </c>
      <c r="E65">
        <v>17</v>
      </c>
      <c r="F65">
        <v>1</v>
      </c>
      <c r="G65">
        <v>1</v>
      </c>
      <c r="H65">
        <v>3</v>
      </c>
      <c r="I65" t="s">
        <v>69</v>
      </c>
      <c r="J65" t="s">
        <v>6</v>
      </c>
      <c r="K65" t="s">
        <v>70</v>
      </c>
      <c r="L65">
        <v>1346</v>
      </c>
      <c r="N65">
        <v>1009</v>
      </c>
      <c r="O65" t="s">
        <v>71</v>
      </c>
      <c r="P65" t="s">
        <v>71</v>
      </c>
      <c r="Q65">
        <v>1</v>
      </c>
      <c r="W65">
        <v>0</v>
      </c>
      <c r="X65">
        <v>-1516100259</v>
      </c>
      <c r="Y65">
        <v>30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0</v>
      </c>
      <c r="AP65">
        <v>0</v>
      </c>
      <c r="AQ65">
        <v>0</v>
      </c>
      <c r="AR65">
        <v>0</v>
      </c>
      <c r="AS65" t="s">
        <v>6</v>
      </c>
      <c r="AT65">
        <v>30</v>
      </c>
      <c r="AU65" t="s">
        <v>6</v>
      </c>
      <c r="AV65">
        <v>0</v>
      </c>
      <c r="AW65">
        <v>2</v>
      </c>
      <c r="AX65">
        <v>16497108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Y65*Source!I38</f>
        <v>44.543999999999997</v>
      </c>
      <c r="CY65">
        <f t="shared" si="6"/>
        <v>0</v>
      </c>
      <c r="CZ65">
        <f t="shared" si="7"/>
        <v>0</v>
      </c>
      <c r="DA65">
        <f t="shared" si="8"/>
        <v>1</v>
      </c>
      <c r="DB65">
        <v>0</v>
      </c>
    </row>
    <row r="66" spans="1:106" x14ac:dyDescent="0.2">
      <c r="A66">
        <f>ROW(Source!A38)</f>
        <v>38</v>
      </c>
      <c r="B66">
        <v>16496956</v>
      </c>
      <c r="C66">
        <v>16497090</v>
      </c>
      <c r="D66">
        <v>15203211</v>
      </c>
      <c r="E66">
        <v>1</v>
      </c>
      <c r="F66">
        <v>1</v>
      </c>
      <c r="G66">
        <v>1</v>
      </c>
      <c r="H66">
        <v>3</v>
      </c>
      <c r="I66" t="s">
        <v>77</v>
      </c>
      <c r="J66" t="s">
        <v>79</v>
      </c>
      <c r="K66" t="s">
        <v>78</v>
      </c>
      <c r="L66">
        <v>1346</v>
      </c>
      <c r="N66">
        <v>1009</v>
      </c>
      <c r="O66" t="s">
        <v>71</v>
      </c>
      <c r="P66" t="s">
        <v>71</v>
      </c>
      <c r="Q66">
        <v>1</v>
      </c>
      <c r="W66">
        <v>0</v>
      </c>
      <c r="X66">
        <v>1453462043</v>
      </c>
      <c r="Y66">
        <v>8.9001889999999992</v>
      </c>
      <c r="AA66">
        <v>15.09</v>
      </c>
      <c r="AB66">
        <v>0</v>
      </c>
      <c r="AC66">
        <v>0</v>
      </c>
      <c r="AD66">
        <v>0</v>
      </c>
      <c r="AE66">
        <v>15.09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6</v>
      </c>
      <c r="AT66">
        <v>8.9001889999999992</v>
      </c>
      <c r="AU66" t="s">
        <v>6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Y66*Source!I38</f>
        <v>13.215000627199998</v>
      </c>
      <c r="CY66">
        <f t="shared" si="6"/>
        <v>15.09</v>
      </c>
      <c r="CZ66">
        <f t="shared" si="7"/>
        <v>15.09</v>
      </c>
      <c r="DA66">
        <f t="shared" si="8"/>
        <v>1</v>
      </c>
      <c r="DB66">
        <v>0</v>
      </c>
    </row>
    <row r="67" spans="1:106" x14ac:dyDescent="0.2">
      <c r="A67">
        <f>ROW(Source!A38)</f>
        <v>38</v>
      </c>
      <c r="B67">
        <v>16496956</v>
      </c>
      <c r="C67">
        <v>16497090</v>
      </c>
      <c r="D67">
        <v>15162572</v>
      </c>
      <c r="E67">
        <v>17</v>
      </c>
      <c r="F67">
        <v>1</v>
      </c>
      <c r="G67">
        <v>1</v>
      </c>
      <c r="H67">
        <v>3</v>
      </c>
      <c r="I67" t="s">
        <v>81</v>
      </c>
      <c r="J67" t="s">
        <v>6</v>
      </c>
      <c r="K67" t="s">
        <v>82</v>
      </c>
      <c r="L67">
        <v>1348</v>
      </c>
      <c r="N67">
        <v>1009</v>
      </c>
      <c r="O67" t="s">
        <v>83</v>
      </c>
      <c r="P67" t="s">
        <v>83</v>
      </c>
      <c r="Q67">
        <v>1000</v>
      </c>
      <c r="W67">
        <v>0</v>
      </c>
      <c r="X67">
        <v>-1212923053</v>
      </c>
      <c r="Y67">
        <v>8.8999999999999999E-3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0</v>
      </c>
      <c r="AP67">
        <v>0</v>
      </c>
      <c r="AQ67">
        <v>0</v>
      </c>
      <c r="AR67">
        <v>0</v>
      </c>
      <c r="AS67" t="s">
        <v>6</v>
      </c>
      <c r="AT67">
        <v>8.8999999999999999E-3</v>
      </c>
      <c r="AU67" t="s">
        <v>6</v>
      </c>
      <c r="AV67">
        <v>0</v>
      </c>
      <c r="AW67">
        <v>2</v>
      </c>
      <c r="AX67">
        <v>16497109</v>
      </c>
      <c r="AY67">
        <v>1</v>
      </c>
      <c r="AZ67">
        <v>0</v>
      </c>
      <c r="BA67">
        <v>66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Y67*Source!I38</f>
        <v>1.3214719999999999E-2</v>
      </c>
      <c r="CY67">
        <f t="shared" si="6"/>
        <v>0</v>
      </c>
      <c r="CZ67">
        <f t="shared" si="7"/>
        <v>0</v>
      </c>
      <c r="DA67">
        <f t="shared" si="8"/>
        <v>1</v>
      </c>
      <c r="DB67">
        <v>0</v>
      </c>
    </row>
    <row r="68" spans="1:106" x14ac:dyDescent="0.2">
      <c r="A68">
        <f>ROW(Source!A39)</f>
        <v>39</v>
      </c>
      <c r="B68">
        <v>16497268</v>
      </c>
      <c r="C68">
        <v>16497090</v>
      </c>
      <c r="D68">
        <v>15438286</v>
      </c>
      <c r="E68">
        <v>1</v>
      </c>
      <c r="F68">
        <v>1</v>
      </c>
      <c r="G68">
        <v>1</v>
      </c>
      <c r="H68">
        <v>1</v>
      </c>
      <c r="I68" t="s">
        <v>265</v>
      </c>
      <c r="J68" t="s">
        <v>6</v>
      </c>
      <c r="K68" t="s">
        <v>266</v>
      </c>
      <c r="L68">
        <v>1191</v>
      </c>
      <c r="N68">
        <v>1013</v>
      </c>
      <c r="O68" t="s">
        <v>223</v>
      </c>
      <c r="P68" t="s">
        <v>223</v>
      </c>
      <c r="Q68">
        <v>1</v>
      </c>
      <c r="W68">
        <v>0</v>
      </c>
      <c r="X68">
        <v>-1027537862</v>
      </c>
      <c r="Y68">
        <v>166.47</v>
      </c>
      <c r="AA68">
        <v>0</v>
      </c>
      <c r="AB68">
        <v>0</v>
      </c>
      <c r="AC68">
        <v>0</v>
      </c>
      <c r="AD68">
        <v>60.31</v>
      </c>
      <c r="AE68">
        <v>0</v>
      </c>
      <c r="AF68">
        <v>0</v>
      </c>
      <c r="AG68">
        <v>0</v>
      </c>
      <c r="AH68">
        <v>9.18</v>
      </c>
      <c r="AI68">
        <v>1</v>
      </c>
      <c r="AJ68">
        <v>1</v>
      </c>
      <c r="AK68">
        <v>1</v>
      </c>
      <c r="AL68">
        <v>6.57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166.47</v>
      </c>
      <c r="AU68" t="s">
        <v>6</v>
      </c>
      <c r="AV68">
        <v>1</v>
      </c>
      <c r="AW68">
        <v>2</v>
      </c>
      <c r="AX68">
        <v>16497102</v>
      </c>
      <c r="AY68">
        <v>1</v>
      </c>
      <c r="AZ68">
        <v>0</v>
      </c>
      <c r="BA68">
        <v>67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Y68*Source!I39</f>
        <v>247.17465599999997</v>
      </c>
      <c r="CY68">
        <f>AD68</f>
        <v>60.31</v>
      </c>
      <c r="CZ68">
        <f>AH68</f>
        <v>9.18</v>
      </c>
      <c r="DA68">
        <f>AL68</f>
        <v>6.57</v>
      </c>
      <c r="DB68">
        <v>0</v>
      </c>
    </row>
    <row r="69" spans="1:106" x14ac:dyDescent="0.2">
      <c r="A69">
        <f>ROW(Source!A39)</f>
        <v>39</v>
      </c>
      <c r="B69">
        <v>16497268</v>
      </c>
      <c r="C69">
        <v>16497090</v>
      </c>
      <c r="D69">
        <v>15430395</v>
      </c>
      <c r="E69">
        <v>1</v>
      </c>
      <c r="F69">
        <v>1</v>
      </c>
      <c r="G69">
        <v>1</v>
      </c>
      <c r="H69">
        <v>1</v>
      </c>
      <c r="I69" t="s">
        <v>224</v>
      </c>
      <c r="J69" t="s">
        <v>6</v>
      </c>
      <c r="K69" t="s">
        <v>225</v>
      </c>
      <c r="L69">
        <v>1191</v>
      </c>
      <c r="N69">
        <v>1013</v>
      </c>
      <c r="O69" t="s">
        <v>223</v>
      </c>
      <c r="P69" t="s">
        <v>223</v>
      </c>
      <c r="Q69">
        <v>1</v>
      </c>
      <c r="W69">
        <v>0</v>
      </c>
      <c r="X69">
        <v>-1417349443</v>
      </c>
      <c r="Y69">
        <v>0.57999999999999996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6.57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0.57999999999999996</v>
      </c>
      <c r="AU69" t="s">
        <v>6</v>
      </c>
      <c r="AV69">
        <v>2</v>
      </c>
      <c r="AW69">
        <v>2</v>
      </c>
      <c r="AX69">
        <v>16497103</v>
      </c>
      <c r="AY69">
        <v>1</v>
      </c>
      <c r="AZ69">
        <v>0</v>
      </c>
      <c r="BA69">
        <v>68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Y69*Source!I39</f>
        <v>0.86118399999999984</v>
      </c>
      <c r="CY69">
        <f>AD69</f>
        <v>0</v>
      </c>
      <c r="CZ69">
        <f>AH69</f>
        <v>0</v>
      </c>
      <c r="DA69">
        <f>AL69</f>
        <v>1</v>
      </c>
      <c r="DB69">
        <v>0</v>
      </c>
    </row>
    <row r="70" spans="1:106" x14ac:dyDescent="0.2">
      <c r="A70">
        <f>ROW(Source!A39)</f>
        <v>39</v>
      </c>
      <c r="B70">
        <v>16497268</v>
      </c>
      <c r="C70">
        <v>16497090</v>
      </c>
      <c r="D70">
        <v>15247974</v>
      </c>
      <c r="E70">
        <v>1</v>
      </c>
      <c r="F70">
        <v>1</v>
      </c>
      <c r="G70">
        <v>1</v>
      </c>
      <c r="H70">
        <v>2</v>
      </c>
      <c r="I70" t="s">
        <v>226</v>
      </c>
      <c r="J70" t="s">
        <v>227</v>
      </c>
      <c r="K70" t="s">
        <v>228</v>
      </c>
      <c r="L70">
        <v>1368</v>
      </c>
      <c r="N70">
        <v>1011</v>
      </c>
      <c r="O70" t="s">
        <v>229</v>
      </c>
      <c r="P70" t="s">
        <v>229</v>
      </c>
      <c r="Q70">
        <v>1</v>
      </c>
      <c r="W70">
        <v>0</v>
      </c>
      <c r="X70">
        <v>1188625873</v>
      </c>
      <c r="Y70">
        <v>0.08</v>
      </c>
      <c r="AA70">
        <v>0</v>
      </c>
      <c r="AB70">
        <v>205.38</v>
      </c>
      <c r="AC70">
        <v>13.5</v>
      </c>
      <c r="AD70">
        <v>0</v>
      </c>
      <c r="AE70">
        <v>0</v>
      </c>
      <c r="AF70">
        <v>31.26</v>
      </c>
      <c r="AG70">
        <v>13.5</v>
      </c>
      <c r="AH70">
        <v>0</v>
      </c>
      <c r="AI70">
        <v>1</v>
      </c>
      <c r="AJ70">
        <v>6.57</v>
      </c>
      <c r="AK70">
        <v>1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6</v>
      </c>
      <c r="AT70">
        <v>0.08</v>
      </c>
      <c r="AU70" t="s">
        <v>6</v>
      </c>
      <c r="AV70">
        <v>0</v>
      </c>
      <c r="AW70">
        <v>2</v>
      </c>
      <c r="AX70">
        <v>16497104</v>
      </c>
      <c r="AY70">
        <v>1</v>
      </c>
      <c r="AZ70">
        <v>0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Y70*Source!I39</f>
        <v>0.118784</v>
      </c>
      <c r="CY70">
        <f>AB70</f>
        <v>205.38</v>
      </c>
      <c r="CZ70">
        <f>AF70</f>
        <v>31.26</v>
      </c>
      <c r="DA70">
        <f>AJ70</f>
        <v>6.57</v>
      </c>
      <c r="DB70">
        <v>0</v>
      </c>
    </row>
    <row r="71" spans="1:106" x14ac:dyDescent="0.2">
      <c r="A71">
        <f>ROW(Source!A39)</f>
        <v>39</v>
      </c>
      <c r="B71">
        <v>16497268</v>
      </c>
      <c r="C71">
        <v>16497090</v>
      </c>
      <c r="D71">
        <v>15249073</v>
      </c>
      <c r="E71">
        <v>1</v>
      </c>
      <c r="F71">
        <v>1</v>
      </c>
      <c r="G71">
        <v>1</v>
      </c>
      <c r="H71">
        <v>2</v>
      </c>
      <c r="I71" t="s">
        <v>232</v>
      </c>
      <c r="J71" t="s">
        <v>233</v>
      </c>
      <c r="K71" t="s">
        <v>234</v>
      </c>
      <c r="L71">
        <v>1368</v>
      </c>
      <c r="N71">
        <v>1011</v>
      </c>
      <c r="O71" t="s">
        <v>229</v>
      </c>
      <c r="P71" t="s">
        <v>229</v>
      </c>
      <c r="Q71">
        <v>1</v>
      </c>
      <c r="W71">
        <v>0</v>
      </c>
      <c r="X71">
        <v>1372534845</v>
      </c>
      <c r="Y71">
        <v>0.5</v>
      </c>
      <c r="AA71">
        <v>0</v>
      </c>
      <c r="AB71">
        <v>431.71</v>
      </c>
      <c r="AC71">
        <v>11.6</v>
      </c>
      <c r="AD71">
        <v>0</v>
      </c>
      <c r="AE71">
        <v>0</v>
      </c>
      <c r="AF71">
        <v>65.709999999999994</v>
      </c>
      <c r="AG71">
        <v>11.6</v>
      </c>
      <c r="AH71">
        <v>0</v>
      </c>
      <c r="AI71">
        <v>1</v>
      </c>
      <c r="AJ71">
        <v>6.57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6</v>
      </c>
      <c r="AT71">
        <v>0.5</v>
      </c>
      <c r="AU71" t="s">
        <v>6</v>
      </c>
      <c r="AV71">
        <v>0</v>
      </c>
      <c r="AW71">
        <v>2</v>
      </c>
      <c r="AX71">
        <v>16497105</v>
      </c>
      <c r="AY71">
        <v>1</v>
      </c>
      <c r="AZ71">
        <v>0</v>
      </c>
      <c r="BA71">
        <v>70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Y71*Source!I39</f>
        <v>0.74239999999999995</v>
      </c>
      <c r="CY71">
        <f>AB71</f>
        <v>431.71</v>
      </c>
      <c r="CZ71">
        <f>AF71</f>
        <v>65.709999999999994</v>
      </c>
      <c r="DA71">
        <f>AJ71</f>
        <v>6.57</v>
      </c>
      <c r="DB71">
        <v>0</v>
      </c>
    </row>
    <row r="72" spans="1:106" x14ac:dyDescent="0.2">
      <c r="A72">
        <f>ROW(Source!A39)</f>
        <v>39</v>
      </c>
      <c r="B72">
        <v>16497268</v>
      </c>
      <c r="C72">
        <v>16497090</v>
      </c>
      <c r="D72">
        <v>15162966</v>
      </c>
      <c r="E72">
        <v>17</v>
      </c>
      <c r="F72">
        <v>1</v>
      </c>
      <c r="G72">
        <v>1</v>
      </c>
      <c r="H72">
        <v>3</v>
      </c>
      <c r="I72" t="s">
        <v>62</v>
      </c>
      <c r="J72" t="s">
        <v>6</v>
      </c>
      <c r="K72" t="s">
        <v>63</v>
      </c>
      <c r="L72">
        <v>1327</v>
      </c>
      <c r="N72">
        <v>1005</v>
      </c>
      <c r="O72" t="s">
        <v>33</v>
      </c>
      <c r="P72" t="s">
        <v>33</v>
      </c>
      <c r="Q72">
        <v>1</v>
      </c>
      <c r="W72">
        <v>0</v>
      </c>
      <c r="X72">
        <v>-112006704</v>
      </c>
      <c r="Y72">
        <v>105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6.57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6</v>
      </c>
      <c r="AT72">
        <v>105</v>
      </c>
      <c r="AU72" t="s">
        <v>6</v>
      </c>
      <c r="AV72">
        <v>0</v>
      </c>
      <c r="AW72">
        <v>2</v>
      </c>
      <c r="AX72">
        <v>16497106</v>
      </c>
      <c r="AY72">
        <v>1</v>
      </c>
      <c r="AZ72">
        <v>0</v>
      </c>
      <c r="BA72">
        <v>71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Y72*Source!I39</f>
        <v>155.904</v>
      </c>
      <c r="CY72">
        <f t="shared" ref="CY72:CY78" si="9">AA72</f>
        <v>0</v>
      </c>
      <c r="CZ72">
        <f t="shared" ref="CZ72:CZ78" si="10">AE72</f>
        <v>0</v>
      </c>
      <c r="DA72">
        <f t="shared" ref="DA72:DA78" si="11">AI72</f>
        <v>6.57</v>
      </c>
      <c r="DB72">
        <v>0</v>
      </c>
    </row>
    <row r="73" spans="1:106" x14ac:dyDescent="0.2">
      <c r="A73">
        <f>ROW(Source!A39)</f>
        <v>39</v>
      </c>
      <c r="B73">
        <v>16497268</v>
      </c>
      <c r="C73">
        <v>16497090</v>
      </c>
      <c r="D73">
        <v>15171018</v>
      </c>
      <c r="E73">
        <v>1</v>
      </c>
      <c r="F73">
        <v>1</v>
      </c>
      <c r="G73">
        <v>1</v>
      </c>
      <c r="H73">
        <v>3</v>
      </c>
      <c r="I73" t="s">
        <v>267</v>
      </c>
      <c r="J73" t="s">
        <v>268</v>
      </c>
      <c r="K73" t="s">
        <v>269</v>
      </c>
      <c r="L73">
        <v>1346</v>
      </c>
      <c r="N73">
        <v>1009</v>
      </c>
      <c r="O73" t="s">
        <v>71</v>
      </c>
      <c r="P73" t="s">
        <v>71</v>
      </c>
      <c r="Q73">
        <v>1</v>
      </c>
      <c r="W73">
        <v>0</v>
      </c>
      <c r="X73">
        <v>813963326</v>
      </c>
      <c r="Y73">
        <v>0.2</v>
      </c>
      <c r="AA73">
        <v>11.96</v>
      </c>
      <c r="AB73">
        <v>0</v>
      </c>
      <c r="AC73">
        <v>0</v>
      </c>
      <c r="AD73">
        <v>0</v>
      </c>
      <c r="AE73">
        <v>1.82</v>
      </c>
      <c r="AF73">
        <v>0</v>
      </c>
      <c r="AG73">
        <v>0</v>
      </c>
      <c r="AH73">
        <v>0</v>
      </c>
      <c r="AI73">
        <v>6.57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6</v>
      </c>
      <c r="AT73">
        <v>0.2</v>
      </c>
      <c r="AU73" t="s">
        <v>6</v>
      </c>
      <c r="AV73">
        <v>0</v>
      </c>
      <c r="AW73">
        <v>2</v>
      </c>
      <c r="AX73">
        <v>16497107</v>
      </c>
      <c r="AY73">
        <v>1</v>
      </c>
      <c r="AZ73">
        <v>0</v>
      </c>
      <c r="BA73">
        <v>72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Y73*Source!I39</f>
        <v>0.29696</v>
      </c>
      <c r="CY73">
        <f t="shared" si="9"/>
        <v>11.96</v>
      </c>
      <c r="CZ73">
        <f t="shared" si="10"/>
        <v>1.82</v>
      </c>
      <c r="DA73">
        <f t="shared" si="11"/>
        <v>6.57</v>
      </c>
      <c r="DB73">
        <v>0</v>
      </c>
    </row>
    <row r="74" spans="1:106" x14ac:dyDescent="0.2">
      <c r="A74">
        <f>ROW(Source!A39)</f>
        <v>39</v>
      </c>
      <c r="B74">
        <v>16497268</v>
      </c>
      <c r="C74">
        <v>16497090</v>
      </c>
      <c r="D74">
        <v>15197671</v>
      </c>
      <c r="E74">
        <v>1</v>
      </c>
      <c r="F74">
        <v>1</v>
      </c>
      <c r="G74">
        <v>1</v>
      </c>
      <c r="H74">
        <v>3</v>
      </c>
      <c r="I74" t="s">
        <v>65</v>
      </c>
      <c r="J74" t="s">
        <v>67</v>
      </c>
      <c r="K74" t="s">
        <v>66</v>
      </c>
      <c r="L74">
        <v>1327</v>
      </c>
      <c r="N74">
        <v>1005</v>
      </c>
      <c r="O74" t="s">
        <v>33</v>
      </c>
      <c r="P74" t="s">
        <v>33</v>
      </c>
      <c r="Q74">
        <v>1</v>
      </c>
      <c r="W74">
        <v>0</v>
      </c>
      <c r="X74">
        <v>-956992290</v>
      </c>
      <c r="Y74">
        <v>105</v>
      </c>
      <c r="AA74">
        <v>225.88</v>
      </c>
      <c r="AB74">
        <v>0</v>
      </c>
      <c r="AC74">
        <v>0</v>
      </c>
      <c r="AD74">
        <v>0</v>
      </c>
      <c r="AE74">
        <v>34.380000000000003</v>
      </c>
      <c r="AF74">
        <v>0</v>
      </c>
      <c r="AG74">
        <v>0</v>
      </c>
      <c r="AH74">
        <v>0</v>
      </c>
      <c r="AI74">
        <v>6.57</v>
      </c>
      <c r="AJ74">
        <v>1</v>
      </c>
      <c r="AK74">
        <v>1</v>
      </c>
      <c r="AL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 t="s">
        <v>6</v>
      </c>
      <c r="AT74">
        <v>105</v>
      </c>
      <c r="AU74" t="s">
        <v>6</v>
      </c>
      <c r="AV74">
        <v>0</v>
      </c>
      <c r="AW74">
        <v>1</v>
      </c>
      <c r="AX74">
        <v>-1</v>
      </c>
      <c r="AY74">
        <v>0</v>
      </c>
      <c r="AZ74">
        <v>0</v>
      </c>
      <c r="BA74" t="s">
        <v>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Y74*Source!I39</f>
        <v>155.904</v>
      </c>
      <c r="CY74">
        <f t="shared" si="9"/>
        <v>225.88</v>
      </c>
      <c r="CZ74">
        <f t="shared" si="10"/>
        <v>34.380000000000003</v>
      </c>
      <c r="DA74">
        <f t="shared" si="11"/>
        <v>6.57</v>
      </c>
      <c r="DB74">
        <v>0</v>
      </c>
    </row>
    <row r="75" spans="1:106" x14ac:dyDescent="0.2">
      <c r="A75">
        <f>ROW(Source!A39)</f>
        <v>39</v>
      </c>
      <c r="B75">
        <v>16497268</v>
      </c>
      <c r="C75">
        <v>16497090</v>
      </c>
      <c r="D75">
        <v>15202457</v>
      </c>
      <c r="E75">
        <v>1</v>
      </c>
      <c r="F75">
        <v>1</v>
      </c>
      <c r="G75">
        <v>1</v>
      </c>
      <c r="H75">
        <v>3</v>
      </c>
      <c r="I75" t="s">
        <v>73</v>
      </c>
      <c r="J75" t="s">
        <v>75</v>
      </c>
      <c r="K75" t="s">
        <v>74</v>
      </c>
      <c r="L75">
        <v>1346</v>
      </c>
      <c r="N75">
        <v>1009</v>
      </c>
      <c r="O75" t="s">
        <v>71</v>
      </c>
      <c r="P75" t="s">
        <v>71</v>
      </c>
      <c r="Q75">
        <v>1</v>
      </c>
      <c r="W75">
        <v>0</v>
      </c>
      <c r="X75">
        <v>1104462431</v>
      </c>
      <c r="Y75">
        <v>30</v>
      </c>
      <c r="AA75">
        <v>104.46</v>
      </c>
      <c r="AB75">
        <v>0</v>
      </c>
      <c r="AC75">
        <v>0</v>
      </c>
      <c r="AD75">
        <v>0</v>
      </c>
      <c r="AE75">
        <v>15.9</v>
      </c>
      <c r="AF75">
        <v>0</v>
      </c>
      <c r="AG75">
        <v>0</v>
      </c>
      <c r="AH75">
        <v>0</v>
      </c>
      <c r="AI75">
        <v>6.57</v>
      </c>
      <c r="AJ75">
        <v>1</v>
      </c>
      <c r="AK75">
        <v>1</v>
      </c>
      <c r="AL75">
        <v>1</v>
      </c>
      <c r="AN75">
        <v>0</v>
      </c>
      <c r="AO75">
        <v>0</v>
      </c>
      <c r="AP75">
        <v>0</v>
      </c>
      <c r="AQ75">
        <v>0</v>
      </c>
      <c r="AR75">
        <v>0</v>
      </c>
      <c r="AS75" t="s">
        <v>6</v>
      </c>
      <c r="AT75">
        <v>30</v>
      </c>
      <c r="AU75" t="s">
        <v>6</v>
      </c>
      <c r="AV75">
        <v>0</v>
      </c>
      <c r="AW75">
        <v>1</v>
      </c>
      <c r="AX75">
        <v>-1</v>
      </c>
      <c r="AY75">
        <v>0</v>
      </c>
      <c r="AZ75">
        <v>0</v>
      </c>
      <c r="BA75" t="s">
        <v>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Y75*Source!I39</f>
        <v>44.543999999999997</v>
      </c>
      <c r="CY75">
        <f t="shared" si="9"/>
        <v>104.46</v>
      </c>
      <c r="CZ75">
        <f t="shared" si="10"/>
        <v>15.9</v>
      </c>
      <c r="DA75">
        <f t="shared" si="11"/>
        <v>6.57</v>
      </c>
      <c r="DB75">
        <v>0</v>
      </c>
    </row>
    <row r="76" spans="1:106" x14ac:dyDescent="0.2">
      <c r="A76">
        <f>ROW(Source!A39)</f>
        <v>39</v>
      </c>
      <c r="B76">
        <v>16497268</v>
      </c>
      <c r="C76">
        <v>16497090</v>
      </c>
      <c r="D76">
        <v>15162257</v>
      </c>
      <c r="E76">
        <v>17</v>
      </c>
      <c r="F76">
        <v>1</v>
      </c>
      <c r="G76">
        <v>1</v>
      </c>
      <c r="H76">
        <v>3</v>
      </c>
      <c r="I76" t="s">
        <v>69</v>
      </c>
      <c r="J76" t="s">
        <v>6</v>
      </c>
      <c r="K76" t="s">
        <v>70</v>
      </c>
      <c r="L76">
        <v>1346</v>
      </c>
      <c r="N76">
        <v>1009</v>
      </c>
      <c r="O76" t="s">
        <v>71</v>
      </c>
      <c r="P76" t="s">
        <v>71</v>
      </c>
      <c r="Q76">
        <v>1</v>
      </c>
      <c r="W76">
        <v>0</v>
      </c>
      <c r="X76">
        <v>-1516100259</v>
      </c>
      <c r="Y76">
        <v>30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6.57</v>
      </c>
      <c r="AJ76">
        <v>1</v>
      </c>
      <c r="AK76">
        <v>1</v>
      </c>
      <c r="AL76">
        <v>1</v>
      </c>
      <c r="AN76">
        <v>0</v>
      </c>
      <c r="AO76">
        <v>0</v>
      </c>
      <c r="AP76">
        <v>0</v>
      </c>
      <c r="AQ76">
        <v>0</v>
      </c>
      <c r="AR76">
        <v>0</v>
      </c>
      <c r="AS76" t="s">
        <v>6</v>
      </c>
      <c r="AT76">
        <v>30</v>
      </c>
      <c r="AU76" t="s">
        <v>6</v>
      </c>
      <c r="AV76">
        <v>0</v>
      </c>
      <c r="AW76">
        <v>2</v>
      </c>
      <c r="AX76">
        <v>16497108</v>
      </c>
      <c r="AY76">
        <v>1</v>
      </c>
      <c r="AZ76">
        <v>0</v>
      </c>
      <c r="BA76">
        <v>73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Y76*Source!I39</f>
        <v>44.543999999999997</v>
      </c>
      <c r="CY76">
        <f t="shared" si="9"/>
        <v>0</v>
      </c>
      <c r="CZ76">
        <f t="shared" si="10"/>
        <v>0</v>
      </c>
      <c r="DA76">
        <f t="shared" si="11"/>
        <v>6.57</v>
      </c>
      <c r="DB76">
        <v>0</v>
      </c>
    </row>
    <row r="77" spans="1:106" x14ac:dyDescent="0.2">
      <c r="A77">
        <f>ROW(Source!A39)</f>
        <v>39</v>
      </c>
      <c r="B77">
        <v>16497268</v>
      </c>
      <c r="C77">
        <v>16497090</v>
      </c>
      <c r="D77">
        <v>15203211</v>
      </c>
      <c r="E77">
        <v>1</v>
      </c>
      <c r="F77">
        <v>1</v>
      </c>
      <c r="G77">
        <v>1</v>
      </c>
      <c r="H77">
        <v>3</v>
      </c>
      <c r="I77" t="s">
        <v>77</v>
      </c>
      <c r="J77" t="s">
        <v>79</v>
      </c>
      <c r="K77" t="s">
        <v>78</v>
      </c>
      <c r="L77">
        <v>1346</v>
      </c>
      <c r="N77">
        <v>1009</v>
      </c>
      <c r="O77" t="s">
        <v>71</v>
      </c>
      <c r="P77" t="s">
        <v>71</v>
      </c>
      <c r="Q77">
        <v>1</v>
      </c>
      <c r="W77">
        <v>0</v>
      </c>
      <c r="X77">
        <v>1453462043</v>
      </c>
      <c r="Y77">
        <v>8.9001889999999992</v>
      </c>
      <c r="AA77">
        <v>99.14</v>
      </c>
      <c r="AB77">
        <v>0</v>
      </c>
      <c r="AC77">
        <v>0</v>
      </c>
      <c r="AD77">
        <v>0</v>
      </c>
      <c r="AE77">
        <v>15.09</v>
      </c>
      <c r="AF77">
        <v>0</v>
      </c>
      <c r="AG77">
        <v>0</v>
      </c>
      <c r="AH77">
        <v>0</v>
      </c>
      <c r="AI77">
        <v>6.57</v>
      </c>
      <c r="AJ77">
        <v>1</v>
      </c>
      <c r="AK77">
        <v>1</v>
      </c>
      <c r="AL77">
        <v>1</v>
      </c>
      <c r="AN77">
        <v>0</v>
      </c>
      <c r="AO77">
        <v>0</v>
      </c>
      <c r="AP77">
        <v>0</v>
      </c>
      <c r="AQ77">
        <v>0</v>
      </c>
      <c r="AR77">
        <v>0</v>
      </c>
      <c r="AS77" t="s">
        <v>6</v>
      </c>
      <c r="AT77">
        <v>8.9001889999999992</v>
      </c>
      <c r="AU77" t="s">
        <v>6</v>
      </c>
      <c r="AV77">
        <v>0</v>
      </c>
      <c r="AW77">
        <v>1</v>
      </c>
      <c r="AX77">
        <v>-1</v>
      </c>
      <c r="AY77">
        <v>0</v>
      </c>
      <c r="AZ77">
        <v>0</v>
      </c>
      <c r="BA77" t="s">
        <v>6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Y77*Source!I39</f>
        <v>13.215000627199998</v>
      </c>
      <c r="CY77">
        <f t="shared" si="9"/>
        <v>99.14</v>
      </c>
      <c r="CZ77">
        <f t="shared" si="10"/>
        <v>15.09</v>
      </c>
      <c r="DA77">
        <f t="shared" si="11"/>
        <v>6.57</v>
      </c>
      <c r="DB77">
        <v>0</v>
      </c>
    </row>
    <row r="78" spans="1:106" x14ac:dyDescent="0.2">
      <c r="A78">
        <f>ROW(Source!A39)</f>
        <v>39</v>
      </c>
      <c r="B78">
        <v>16497268</v>
      </c>
      <c r="C78">
        <v>16497090</v>
      </c>
      <c r="D78">
        <v>15162572</v>
      </c>
      <c r="E78">
        <v>17</v>
      </c>
      <c r="F78">
        <v>1</v>
      </c>
      <c r="G78">
        <v>1</v>
      </c>
      <c r="H78">
        <v>3</v>
      </c>
      <c r="I78" t="s">
        <v>81</v>
      </c>
      <c r="J78" t="s">
        <v>6</v>
      </c>
      <c r="K78" t="s">
        <v>82</v>
      </c>
      <c r="L78">
        <v>1348</v>
      </c>
      <c r="N78">
        <v>1009</v>
      </c>
      <c r="O78" t="s">
        <v>83</v>
      </c>
      <c r="P78" t="s">
        <v>83</v>
      </c>
      <c r="Q78">
        <v>1000</v>
      </c>
      <c r="W78">
        <v>0</v>
      </c>
      <c r="X78">
        <v>-1212923053</v>
      </c>
      <c r="Y78">
        <v>8.8999999999999999E-3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6.57</v>
      </c>
      <c r="AJ78">
        <v>1</v>
      </c>
      <c r="AK78">
        <v>1</v>
      </c>
      <c r="AL78">
        <v>1</v>
      </c>
      <c r="AN78">
        <v>0</v>
      </c>
      <c r="AO78">
        <v>0</v>
      </c>
      <c r="AP78">
        <v>0</v>
      </c>
      <c r="AQ78">
        <v>0</v>
      </c>
      <c r="AR78">
        <v>0</v>
      </c>
      <c r="AS78" t="s">
        <v>6</v>
      </c>
      <c r="AT78">
        <v>8.8999999999999999E-3</v>
      </c>
      <c r="AU78" t="s">
        <v>6</v>
      </c>
      <c r="AV78">
        <v>0</v>
      </c>
      <c r="AW78">
        <v>2</v>
      </c>
      <c r="AX78">
        <v>16497109</v>
      </c>
      <c r="AY78">
        <v>1</v>
      </c>
      <c r="AZ78">
        <v>0</v>
      </c>
      <c r="BA78">
        <v>74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Y78*Source!I39</f>
        <v>1.3214719999999999E-2</v>
      </c>
      <c r="CY78">
        <f t="shared" si="9"/>
        <v>0</v>
      </c>
      <c r="CZ78">
        <f t="shared" si="10"/>
        <v>0</v>
      </c>
      <c r="DA78">
        <f t="shared" si="11"/>
        <v>6.57</v>
      </c>
      <c r="DB7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16497022</v>
      </c>
      <c r="C1">
        <v>16497018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221</v>
      </c>
      <c r="J1" t="s">
        <v>6</v>
      </c>
      <c r="K1" t="s">
        <v>222</v>
      </c>
      <c r="L1">
        <v>1191</v>
      </c>
      <c r="N1">
        <v>1013</v>
      </c>
      <c r="O1" t="s">
        <v>223</v>
      </c>
      <c r="P1" t="s">
        <v>223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16497019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16497023</v>
      </c>
      <c r="C2">
        <v>16497018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224</v>
      </c>
      <c r="J2" t="s">
        <v>6</v>
      </c>
      <c r="K2" t="s">
        <v>225</v>
      </c>
      <c r="L2">
        <v>1191</v>
      </c>
      <c r="N2">
        <v>1013</v>
      </c>
      <c r="O2" t="s">
        <v>223</v>
      </c>
      <c r="P2" t="s">
        <v>223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16497020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16497024</v>
      </c>
      <c r="C3">
        <v>16497018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226</v>
      </c>
      <c r="J3" t="s">
        <v>227</v>
      </c>
      <c r="K3" t="s">
        <v>228</v>
      </c>
      <c r="L3">
        <v>1368</v>
      </c>
      <c r="N3">
        <v>1011</v>
      </c>
      <c r="O3" t="s">
        <v>229</v>
      </c>
      <c r="P3" t="s">
        <v>229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16497021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16497022</v>
      </c>
      <c r="C4">
        <v>16497018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221</v>
      </c>
      <c r="J4" t="s">
        <v>6</v>
      </c>
      <c r="K4" t="s">
        <v>222</v>
      </c>
      <c r="L4">
        <v>1191</v>
      </c>
      <c r="N4">
        <v>1013</v>
      </c>
      <c r="O4" t="s">
        <v>223</v>
      </c>
      <c r="P4" t="s">
        <v>223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16497019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16497023</v>
      </c>
      <c r="C5">
        <v>16497018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224</v>
      </c>
      <c r="J5" t="s">
        <v>6</v>
      </c>
      <c r="K5" t="s">
        <v>225</v>
      </c>
      <c r="L5">
        <v>1191</v>
      </c>
      <c r="N5">
        <v>1013</v>
      </c>
      <c r="O5" t="s">
        <v>223</v>
      </c>
      <c r="P5" t="s">
        <v>223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16497020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16497024</v>
      </c>
      <c r="C6">
        <v>16497018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226</v>
      </c>
      <c r="J6" t="s">
        <v>227</v>
      </c>
      <c r="K6" t="s">
        <v>228</v>
      </c>
      <c r="L6">
        <v>1368</v>
      </c>
      <c r="N6">
        <v>1011</v>
      </c>
      <c r="O6" t="s">
        <v>229</v>
      </c>
      <c r="P6" t="s">
        <v>229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16497021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16497038</v>
      </c>
      <c r="C7">
        <v>16497025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230</v>
      </c>
      <c r="J7" t="s">
        <v>6</v>
      </c>
      <c r="K7" t="s">
        <v>231</v>
      </c>
      <c r="L7">
        <v>1191</v>
      </c>
      <c r="N7">
        <v>1013</v>
      </c>
      <c r="O7" t="s">
        <v>223</v>
      </c>
      <c r="P7" t="s">
        <v>223</v>
      </c>
      <c r="Q7">
        <v>1</v>
      </c>
      <c r="X7">
        <v>149.16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6</v>
      </c>
      <c r="AG7">
        <v>149.16</v>
      </c>
      <c r="AH7">
        <v>2</v>
      </c>
      <c r="AI7">
        <v>16497026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16497039</v>
      </c>
      <c r="C8">
        <v>16497025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224</v>
      </c>
      <c r="J8" t="s">
        <v>6</v>
      </c>
      <c r="K8" t="s">
        <v>225</v>
      </c>
      <c r="L8">
        <v>1191</v>
      </c>
      <c r="N8">
        <v>1013</v>
      </c>
      <c r="O8" t="s">
        <v>223</v>
      </c>
      <c r="P8" t="s">
        <v>223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6</v>
      </c>
      <c r="AG8">
        <v>4.2300000000000004</v>
      </c>
      <c r="AH8">
        <v>2</v>
      </c>
      <c r="AI8">
        <v>16497027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16497040</v>
      </c>
      <c r="C9">
        <v>16497025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226</v>
      </c>
      <c r="J9" t="s">
        <v>227</v>
      </c>
      <c r="K9" t="s">
        <v>228</v>
      </c>
      <c r="L9">
        <v>1368</v>
      </c>
      <c r="N9">
        <v>1011</v>
      </c>
      <c r="O9" t="s">
        <v>229</v>
      </c>
      <c r="P9" t="s">
        <v>229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0.66</v>
      </c>
      <c r="AH9">
        <v>2</v>
      </c>
      <c r="AI9">
        <v>16497028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16497041</v>
      </c>
      <c r="C10">
        <v>16497025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232</v>
      </c>
      <c r="J10" t="s">
        <v>233</v>
      </c>
      <c r="K10" t="s">
        <v>234</v>
      </c>
      <c r="L10">
        <v>1368</v>
      </c>
      <c r="N10">
        <v>1011</v>
      </c>
      <c r="O10" t="s">
        <v>229</v>
      </c>
      <c r="P10" t="s">
        <v>229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3.57</v>
      </c>
      <c r="AH10">
        <v>2</v>
      </c>
      <c r="AI10">
        <v>16497029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16497042</v>
      </c>
      <c r="C11">
        <v>16497025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235</v>
      </c>
      <c r="J11" t="s">
        <v>236</v>
      </c>
      <c r="K11" t="s">
        <v>237</v>
      </c>
      <c r="L11">
        <v>1301</v>
      </c>
      <c r="N11">
        <v>1003</v>
      </c>
      <c r="O11" t="s">
        <v>43</v>
      </c>
      <c r="P11" t="s">
        <v>43</v>
      </c>
      <c r="Q11">
        <v>1</v>
      </c>
      <c r="X11">
        <v>253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253</v>
      </c>
      <c r="AH11">
        <v>2</v>
      </c>
      <c r="AI11">
        <v>16497030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16497043</v>
      </c>
      <c r="C12">
        <v>16497025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238</v>
      </c>
      <c r="J12" t="s">
        <v>239</v>
      </c>
      <c r="K12" t="s">
        <v>240</v>
      </c>
      <c r="L12">
        <v>1301</v>
      </c>
      <c r="N12">
        <v>1003</v>
      </c>
      <c r="O12" t="s">
        <v>43</v>
      </c>
      <c r="P12" t="s">
        <v>43</v>
      </c>
      <c r="Q12">
        <v>1</v>
      </c>
      <c r="X12">
        <v>59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59</v>
      </c>
      <c r="AH12">
        <v>2</v>
      </c>
      <c r="AI12">
        <v>16497031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16497044</v>
      </c>
      <c r="C13">
        <v>16497025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241</v>
      </c>
      <c r="J13" t="s">
        <v>242</v>
      </c>
      <c r="K13" t="s">
        <v>243</v>
      </c>
      <c r="L13">
        <v>1302</v>
      </c>
      <c r="N13">
        <v>1003</v>
      </c>
      <c r="O13" t="s">
        <v>244</v>
      </c>
      <c r="P13" t="s">
        <v>244</v>
      </c>
      <c r="Q13">
        <v>10</v>
      </c>
      <c r="X13">
        <v>15.9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15.9</v>
      </c>
      <c r="AH13">
        <v>2</v>
      </c>
      <c r="AI13">
        <v>16497032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16497045</v>
      </c>
      <c r="C14">
        <v>16497025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245</v>
      </c>
      <c r="J14" t="s">
        <v>246</v>
      </c>
      <c r="K14" t="s">
        <v>247</v>
      </c>
      <c r="L14">
        <v>1358</v>
      </c>
      <c r="N14">
        <v>1010</v>
      </c>
      <c r="O14" t="s">
        <v>248</v>
      </c>
      <c r="P14" t="s">
        <v>248</v>
      </c>
      <c r="Q14">
        <v>10</v>
      </c>
      <c r="X14">
        <v>41.2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41.2</v>
      </c>
      <c r="AH14">
        <v>2</v>
      </c>
      <c r="AI14">
        <v>16497033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16497046</v>
      </c>
      <c r="C15">
        <v>16497025</v>
      </c>
      <c r="D15">
        <v>15162466</v>
      </c>
      <c r="E15">
        <v>17</v>
      </c>
      <c r="F15">
        <v>1</v>
      </c>
      <c r="G15">
        <v>1</v>
      </c>
      <c r="H15">
        <v>3</v>
      </c>
      <c r="I15" t="s">
        <v>270</v>
      </c>
      <c r="J15" t="s">
        <v>6</v>
      </c>
      <c r="K15" t="s">
        <v>271</v>
      </c>
      <c r="L15">
        <v>1327</v>
      </c>
      <c r="N15">
        <v>1005</v>
      </c>
      <c r="O15" t="s">
        <v>33</v>
      </c>
      <c r="P15" t="s">
        <v>33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16497047</v>
      </c>
      <c r="C16">
        <v>16497025</v>
      </c>
      <c r="D16">
        <v>15197780</v>
      </c>
      <c r="E16">
        <v>1</v>
      </c>
      <c r="F16">
        <v>1</v>
      </c>
      <c r="G16">
        <v>1</v>
      </c>
      <c r="H16">
        <v>3</v>
      </c>
      <c r="I16" t="s">
        <v>249</v>
      </c>
      <c r="J16" t="s">
        <v>250</v>
      </c>
      <c r="K16" t="s">
        <v>251</v>
      </c>
      <c r="L16">
        <v>1355</v>
      </c>
      <c r="N16">
        <v>1010</v>
      </c>
      <c r="O16" t="s">
        <v>252</v>
      </c>
      <c r="P16" t="s">
        <v>252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16497035</v>
      </c>
      <c r="AJ16">
        <v>15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16497048</v>
      </c>
      <c r="C17">
        <v>16497025</v>
      </c>
      <c r="D17">
        <v>15204239</v>
      </c>
      <c r="E17">
        <v>1</v>
      </c>
      <c r="F17">
        <v>1</v>
      </c>
      <c r="G17">
        <v>1</v>
      </c>
      <c r="H17">
        <v>3</v>
      </c>
      <c r="I17" t="s">
        <v>253</v>
      </c>
      <c r="J17" t="s">
        <v>254</v>
      </c>
      <c r="K17" t="s">
        <v>255</v>
      </c>
      <c r="L17">
        <v>1354</v>
      </c>
      <c r="N17">
        <v>1010</v>
      </c>
      <c r="O17" t="s">
        <v>256</v>
      </c>
      <c r="P17" t="s">
        <v>256</v>
      </c>
      <c r="Q17">
        <v>1</v>
      </c>
      <c r="X17">
        <v>71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71</v>
      </c>
      <c r="AH17">
        <v>2</v>
      </c>
      <c r="AI17">
        <v>16497036</v>
      </c>
      <c r="AJ17">
        <v>16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16497038</v>
      </c>
      <c r="C18">
        <v>16497025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230</v>
      </c>
      <c r="J18" t="s">
        <v>6</v>
      </c>
      <c r="K18" t="s">
        <v>231</v>
      </c>
      <c r="L18">
        <v>1191</v>
      </c>
      <c r="N18">
        <v>1013</v>
      </c>
      <c r="O18" t="s">
        <v>223</v>
      </c>
      <c r="P18" t="s">
        <v>223</v>
      </c>
      <c r="Q18">
        <v>1</v>
      </c>
      <c r="X18">
        <v>149.16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6</v>
      </c>
      <c r="AG18">
        <v>149.16</v>
      </c>
      <c r="AH18">
        <v>2</v>
      </c>
      <c r="AI18">
        <v>16497026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16497039</v>
      </c>
      <c r="C19">
        <v>16497025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224</v>
      </c>
      <c r="J19" t="s">
        <v>6</v>
      </c>
      <c r="K19" t="s">
        <v>225</v>
      </c>
      <c r="L19">
        <v>1191</v>
      </c>
      <c r="N19">
        <v>1013</v>
      </c>
      <c r="O19" t="s">
        <v>223</v>
      </c>
      <c r="P19" t="s">
        <v>223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6</v>
      </c>
      <c r="AG19">
        <v>4.2300000000000004</v>
      </c>
      <c r="AH19">
        <v>2</v>
      </c>
      <c r="AI19">
        <v>16497027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16497040</v>
      </c>
      <c r="C20">
        <v>16497025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226</v>
      </c>
      <c r="J20" t="s">
        <v>227</v>
      </c>
      <c r="K20" t="s">
        <v>228</v>
      </c>
      <c r="L20">
        <v>1368</v>
      </c>
      <c r="N20">
        <v>1011</v>
      </c>
      <c r="O20" t="s">
        <v>229</v>
      </c>
      <c r="P20" t="s">
        <v>229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0.66</v>
      </c>
      <c r="AH20">
        <v>2</v>
      </c>
      <c r="AI20">
        <v>16497028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16497041</v>
      </c>
      <c r="C21">
        <v>16497025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232</v>
      </c>
      <c r="J21" t="s">
        <v>233</v>
      </c>
      <c r="K21" t="s">
        <v>234</v>
      </c>
      <c r="L21">
        <v>1368</v>
      </c>
      <c r="N21">
        <v>1011</v>
      </c>
      <c r="O21" t="s">
        <v>229</v>
      </c>
      <c r="P21" t="s">
        <v>229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3.57</v>
      </c>
      <c r="AH21">
        <v>2</v>
      </c>
      <c r="AI21">
        <v>16497029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16497042</v>
      </c>
      <c r="C22">
        <v>16497025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235</v>
      </c>
      <c r="J22" t="s">
        <v>236</v>
      </c>
      <c r="K22" t="s">
        <v>237</v>
      </c>
      <c r="L22">
        <v>1301</v>
      </c>
      <c r="N22">
        <v>1003</v>
      </c>
      <c r="O22" t="s">
        <v>43</v>
      </c>
      <c r="P22" t="s">
        <v>43</v>
      </c>
      <c r="Q22">
        <v>1</v>
      </c>
      <c r="X22">
        <v>253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253</v>
      </c>
      <c r="AH22">
        <v>2</v>
      </c>
      <c r="AI22">
        <v>16497030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16497043</v>
      </c>
      <c r="C23">
        <v>16497025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238</v>
      </c>
      <c r="J23" t="s">
        <v>239</v>
      </c>
      <c r="K23" t="s">
        <v>240</v>
      </c>
      <c r="L23">
        <v>1301</v>
      </c>
      <c r="N23">
        <v>1003</v>
      </c>
      <c r="O23" t="s">
        <v>43</v>
      </c>
      <c r="P23" t="s">
        <v>43</v>
      </c>
      <c r="Q23">
        <v>1</v>
      </c>
      <c r="X23">
        <v>59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59</v>
      </c>
      <c r="AH23">
        <v>2</v>
      </c>
      <c r="AI23">
        <v>16497031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16497044</v>
      </c>
      <c r="C24">
        <v>16497025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241</v>
      </c>
      <c r="J24" t="s">
        <v>242</v>
      </c>
      <c r="K24" t="s">
        <v>243</v>
      </c>
      <c r="L24">
        <v>1302</v>
      </c>
      <c r="N24">
        <v>1003</v>
      </c>
      <c r="O24" t="s">
        <v>244</v>
      </c>
      <c r="P24" t="s">
        <v>244</v>
      </c>
      <c r="Q24">
        <v>10</v>
      </c>
      <c r="X24">
        <v>15.9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15.9</v>
      </c>
      <c r="AH24">
        <v>2</v>
      </c>
      <c r="AI24">
        <v>16497032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16497045</v>
      </c>
      <c r="C25">
        <v>16497025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245</v>
      </c>
      <c r="J25" t="s">
        <v>246</v>
      </c>
      <c r="K25" t="s">
        <v>247</v>
      </c>
      <c r="L25">
        <v>1358</v>
      </c>
      <c r="N25">
        <v>1010</v>
      </c>
      <c r="O25" t="s">
        <v>248</v>
      </c>
      <c r="P25" t="s">
        <v>248</v>
      </c>
      <c r="Q25">
        <v>10</v>
      </c>
      <c r="X25">
        <v>41.2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41.2</v>
      </c>
      <c r="AH25">
        <v>2</v>
      </c>
      <c r="AI25">
        <v>16497033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16497046</v>
      </c>
      <c r="C26">
        <v>16497025</v>
      </c>
      <c r="D26">
        <v>15162466</v>
      </c>
      <c r="E26">
        <v>17</v>
      </c>
      <c r="F26">
        <v>1</v>
      </c>
      <c r="G26">
        <v>1</v>
      </c>
      <c r="H26">
        <v>3</v>
      </c>
      <c r="I26" t="s">
        <v>270</v>
      </c>
      <c r="J26" t="s">
        <v>6</v>
      </c>
      <c r="K26" t="s">
        <v>271</v>
      </c>
      <c r="L26">
        <v>1327</v>
      </c>
      <c r="N26">
        <v>1005</v>
      </c>
      <c r="O26" t="s">
        <v>33</v>
      </c>
      <c r="P26" t="s">
        <v>33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16497047</v>
      </c>
      <c r="C27">
        <v>16497025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249</v>
      </c>
      <c r="J27" t="s">
        <v>250</v>
      </c>
      <c r="K27" t="s">
        <v>251</v>
      </c>
      <c r="L27">
        <v>1355</v>
      </c>
      <c r="N27">
        <v>1010</v>
      </c>
      <c r="O27" t="s">
        <v>252</v>
      </c>
      <c r="P27" t="s">
        <v>252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16497035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16497048</v>
      </c>
      <c r="C28">
        <v>16497025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253</v>
      </c>
      <c r="J28" t="s">
        <v>254</v>
      </c>
      <c r="K28" t="s">
        <v>255</v>
      </c>
      <c r="L28">
        <v>1354</v>
      </c>
      <c r="N28">
        <v>1010</v>
      </c>
      <c r="O28" t="s">
        <v>256</v>
      </c>
      <c r="P28" t="s">
        <v>256</v>
      </c>
      <c r="Q28">
        <v>1</v>
      </c>
      <c r="X28">
        <v>71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71</v>
      </c>
      <c r="AH28">
        <v>2</v>
      </c>
      <c r="AI28">
        <v>16497036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16497059</v>
      </c>
      <c r="C29">
        <v>16497051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257</v>
      </c>
      <c r="J29" t="s">
        <v>6</v>
      </c>
      <c r="K29" t="s">
        <v>258</v>
      </c>
      <c r="L29">
        <v>1191</v>
      </c>
      <c r="N29">
        <v>1013</v>
      </c>
      <c r="O29" t="s">
        <v>223</v>
      </c>
      <c r="P29" t="s">
        <v>223</v>
      </c>
      <c r="Q29">
        <v>1</v>
      </c>
      <c r="X29">
        <v>21.38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6</v>
      </c>
      <c r="AG29">
        <v>21.38</v>
      </c>
      <c r="AH29">
        <v>2</v>
      </c>
      <c r="AI29">
        <v>16497052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16497060</v>
      </c>
      <c r="C30">
        <v>16497051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224</v>
      </c>
      <c r="J30" t="s">
        <v>6</v>
      </c>
      <c r="K30" t="s">
        <v>225</v>
      </c>
      <c r="L30">
        <v>1191</v>
      </c>
      <c r="N30">
        <v>1013</v>
      </c>
      <c r="O30" t="s">
        <v>223</v>
      </c>
      <c r="P30" t="s">
        <v>223</v>
      </c>
      <c r="Q30">
        <v>1</v>
      </c>
      <c r="X30">
        <v>0.37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6</v>
      </c>
      <c r="AG30">
        <v>0.37</v>
      </c>
      <c r="AH30">
        <v>2</v>
      </c>
      <c r="AI30">
        <v>16497053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16497061</v>
      </c>
      <c r="C31">
        <v>16497051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226</v>
      </c>
      <c r="J31" t="s">
        <v>227</v>
      </c>
      <c r="K31" t="s">
        <v>228</v>
      </c>
      <c r="L31">
        <v>1368</v>
      </c>
      <c r="N31">
        <v>1011</v>
      </c>
      <c r="O31" t="s">
        <v>229</v>
      </c>
      <c r="P31" t="s">
        <v>229</v>
      </c>
      <c r="Q31">
        <v>1</v>
      </c>
      <c r="X31">
        <v>7.0000000000000007E-2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6</v>
      </c>
      <c r="AG31">
        <v>7.0000000000000007E-2</v>
      </c>
      <c r="AH31">
        <v>2</v>
      </c>
      <c r="AI31">
        <v>16497054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16497062</v>
      </c>
      <c r="C32">
        <v>16497051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232</v>
      </c>
      <c r="J32" t="s">
        <v>233</v>
      </c>
      <c r="K32" t="s">
        <v>234</v>
      </c>
      <c r="L32">
        <v>1368</v>
      </c>
      <c r="N32">
        <v>1011</v>
      </c>
      <c r="O32" t="s">
        <v>229</v>
      </c>
      <c r="P32" t="s">
        <v>229</v>
      </c>
      <c r="Q32">
        <v>1</v>
      </c>
      <c r="X32">
        <v>0.3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0.3</v>
      </c>
      <c r="AH32">
        <v>2</v>
      </c>
      <c r="AI32">
        <v>16497055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16497063</v>
      </c>
      <c r="C33">
        <v>16497051</v>
      </c>
      <c r="D33">
        <v>15162469</v>
      </c>
      <c r="E33">
        <v>17</v>
      </c>
      <c r="F33">
        <v>1</v>
      </c>
      <c r="G33">
        <v>1</v>
      </c>
      <c r="H33">
        <v>3</v>
      </c>
      <c r="I33" t="s">
        <v>272</v>
      </c>
      <c r="J33" t="s">
        <v>6</v>
      </c>
      <c r="K33" t="s">
        <v>42</v>
      </c>
      <c r="L33">
        <v>1301</v>
      </c>
      <c r="N33">
        <v>1003</v>
      </c>
      <c r="O33" t="s">
        <v>43</v>
      </c>
      <c r="P33" t="s">
        <v>43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16497064</v>
      </c>
      <c r="C34">
        <v>16497051</v>
      </c>
      <c r="D34">
        <v>15197780</v>
      </c>
      <c r="E34">
        <v>1</v>
      </c>
      <c r="F34">
        <v>1</v>
      </c>
      <c r="G34">
        <v>1</v>
      </c>
      <c r="H34">
        <v>3</v>
      </c>
      <c r="I34" t="s">
        <v>249</v>
      </c>
      <c r="J34" t="s">
        <v>250</v>
      </c>
      <c r="K34" t="s">
        <v>251</v>
      </c>
      <c r="L34">
        <v>1355</v>
      </c>
      <c r="N34">
        <v>1010</v>
      </c>
      <c r="O34" t="s">
        <v>252</v>
      </c>
      <c r="P34" t="s">
        <v>252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16497056</v>
      </c>
      <c r="AJ34">
        <v>33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16497065</v>
      </c>
      <c r="C35">
        <v>16497051</v>
      </c>
      <c r="D35">
        <v>15204239</v>
      </c>
      <c r="E35">
        <v>1</v>
      </c>
      <c r="F35">
        <v>1</v>
      </c>
      <c r="G35">
        <v>1</v>
      </c>
      <c r="H35">
        <v>3</v>
      </c>
      <c r="I35" t="s">
        <v>253</v>
      </c>
      <c r="J35" t="s">
        <v>254</v>
      </c>
      <c r="K35" t="s">
        <v>255</v>
      </c>
      <c r="L35">
        <v>1354</v>
      </c>
      <c r="N35">
        <v>1010</v>
      </c>
      <c r="O35" t="s">
        <v>256</v>
      </c>
      <c r="P35" t="s">
        <v>256</v>
      </c>
      <c r="Q35">
        <v>1</v>
      </c>
      <c r="X35">
        <v>90.7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90.7</v>
      </c>
      <c r="AH35">
        <v>2</v>
      </c>
      <c r="AI35">
        <v>16497057</v>
      </c>
      <c r="AJ35">
        <v>34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16497059</v>
      </c>
      <c r="C36">
        <v>16497051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257</v>
      </c>
      <c r="J36" t="s">
        <v>6</v>
      </c>
      <c r="K36" t="s">
        <v>258</v>
      </c>
      <c r="L36">
        <v>1191</v>
      </c>
      <c r="N36">
        <v>1013</v>
      </c>
      <c r="O36" t="s">
        <v>223</v>
      </c>
      <c r="P36" t="s">
        <v>223</v>
      </c>
      <c r="Q36">
        <v>1</v>
      </c>
      <c r="X36">
        <v>21.38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6</v>
      </c>
      <c r="AG36">
        <v>21.38</v>
      </c>
      <c r="AH36">
        <v>2</v>
      </c>
      <c r="AI36">
        <v>16497052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16497060</v>
      </c>
      <c r="C37">
        <v>16497051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224</v>
      </c>
      <c r="J37" t="s">
        <v>6</v>
      </c>
      <c r="K37" t="s">
        <v>225</v>
      </c>
      <c r="L37">
        <v>1191</v>
      </c>
      <c r="N37">
        <v>1013</v>
      </c>
      <c r="O37" t="s">
        <v>223</v>
      </c>
      <c r="P37" t="s">
        <v>223</v>
      </c>
      <c r="Q37">
        <v>1</v>
      </c>
      <c r="X37">
        <v>0.37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</v>
      </c>
      <c r="AG37">
        <v>0.37</v>
      </c>
      <c r="AH37">
        <v>2</v>
      </c>
      <c r="AI37">
        <v>16497053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16497061</v>
      </c>
      <c r="C38">
        <v>16497051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226</v>
      </c>
      <c r="J38" t="s">
        <v>227</v>
      </c>
      <c r="K38" t="s">
        <v>228</v>
      </c>
      <c r="L38">
        <v>1368</v>
      </c>
      <c r="N38">
        <v>1011</v>
      </c>
      <c r="O38" t="s">
        <v>229</v>
      </c>
      <c r="P38" t="s">
        <v>229</v>
      </c>
      <c r="Q38">
        <v>1</v>
      </c>
      <c r="X38">
        <v>7.0000000000000007E-2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7.0000000000000007E-2</v>
      </c>
      <c r="AH38">
        <v>2</v>
      </c>
      <c r="AI38">
        <v>16497054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16497062</v>
      </c>
      <c r="C39">
        <v>16497051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232</v>
      </c>
      <c r="J39" t="s">
        <v>233</v>
      </c>
      <c r="K39" t="s">
        <v>234</v>
      </c>
      <c r="L39">
        <v>1368</v>
      </c>
      <c r="N39">
        <v>1011</v>
      </c>
      <c r="O39" t="s">
        <v>229</v>
      </c>
      <c r="P39" t="s">
        <v>229</v>
      </c>
      <c r="Q39">
        <v>1</v>
      </c>
      <c r="X39">
        <v>0.3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0.3</v>
      </c>
      <c r="AH39">
        <v>2</v>
      </c>
      <c r="AI39">
        <v>16497055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16497063</v>
      </c>
      <c r="C40">
        <v>16497051</v>
      </c>
      <c r="D40">
        <v>15162469</v>
      </c>
      <c r="E40">
        <v>17</v>
      </c>
      <c r="F40">
        <v>1</v>
      </c>
      <c r="G40">
        <v>1</v>
      </c>
      <c r="H40">
        <v>3</v>
      </c>
      <c r="I40" t="s">
        <v>272</v>
      </c>
      <c r="J40" t="s">
        <v>6</v>
      </c>
      <c r="K40" t="s">
        <v>42</v>
      </c>
      <c r="L40">
        <v>1301</v>
      </c>
      <c r="N40">
        <v>1003</v>
      </c>
      <c r="O40" t="s">
        <v>43</v>
      </c>
      <c r="P40" t="s">
        <v>43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16497064</v>
      </c>
      <c r="C41">
        <v>16497051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249</v>
      </c>
      <c r="J41" t="s">
        <v>250</v>
      </c>
      <c r="K41" t="s">
        <v>251</v>
      </c>
      <c r="L41">
        <v>1355</v>
      </c>
      <c r="N41">
        <v>1010</v>
      </c>
      <c r="O41" t="s">
        <v>252</v>
      </c>
      <c r="P41" t="s">
        <v>252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16497056</v>
      </c>
      <c r="AJ41">
        <v>40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16497065</v>
      </c>
      <c r="C42">
        <v>16497051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253</v>
      </c>
      <c r="J42" t="s">
        <v>254</v>
      </c>
      <c r="K42" t="s">
        <v>255</v>
      </c>
      <c r="L42">
        <v>1354</v>
      </c>
      <c r="N42">
        <v>1010</v>
      </c>
      <c r="O42" t="s">
        <v>256</v>
      </c>
      <c r="P42" t="s">
        <v>256</v>
      </c>
      <c r="Q42">
        <v>1</v>
      </c>
      <c r="X42">
        <v>90.7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90.7</v>
      </c>
      <c r="AH42">
        <v>2</v>
      </c>
      <c r="AI42">
        <v>16497057</v>
      </c>
      <c r="AJ42">
        <v>41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16497078</v>
      </c>
      <c r="C43">
        <v>16497067</v>
      </c>
      <c r="D43">
        <v>15430767</v>
      </c>
      <c r="E43">
        <v>1</v>
      </c>
      <c r="F43">
        <v>1</v>
      </c>
      <c r="G43">
        <v>1</v>
      </c>
      <c r="H43">
        <v>1</v>
      </c>
      <c r="I43" t="s">
        <v>257</v>
      </c>
      <c r="J43" t="s">
        <v>6</v>
      </c>
      <c r="K43" t="s">
        <v>258</v>
      </c>
      <c r="L43">
        <v>1191</v>
      </c>
      <c r="N43">
        <v>1013</v>
      </c>
      <c r="O43" t="s">
        <v>223</v>
      </c>
      <c r="P43" t="s">
        <v>223</v>
      </c>
      <c r="Q43">
        <v>1</v>
      </c>
      <c r="X43">
        <v>41.41</v>
      </c>
      <c r="Y43">
        <v>0</v>
      </c>
      <c r="Z43">
        <v>0</v>
      </c>
      <c r="AA43">
        <v>0</v>
      </c>
      <c r="AB43">
        <v>8.5299999999999994</v>
      </c>
      <c r="AC43">
        <v>0</v>
      </c>
      <c r="AD43">
        <v>1</v>
      </c>
      <c r="AE43">
        <v>1</v>
      </c>
      <c r="AF43" t="s">
        <v>6</v>
      </c>
      <c r="AG43">
        <v>41.41</v>
      </c>
      <c r="AH43">
        <v>2</v>
      </c>
      <c r="AI43">
        <v>16497068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ROW(Source!A34)</f>
        <v>34</v>
      </c>
      <c r="B44">
        <v>16497079</v>
      </c>
      <c r="C44">
        <v>16497067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224</v>
      </c>
      <c r="J44" t="s">
        <v>6</v>
      </c>
      <c r="K44" t="s">
        <v>225</v>
      </c>
      <c r="L44">
        <v>1191</v>
      </c>
      <c r="N44">
        <v>1013</v>
      </c>
      <c r="O44" t="s">
        <v>223</v>
      </c>
      <c r="P44" t="s">
        <v>223</v>
      </c>
      <c r="Q44">
        <v>1</v>
      </c>
      <c r="X44">
        <v>0.12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6</v>
      </c>
      <c r="AG44">
        <v>0.12</v>
      </c>
      <c r="AH44">
        <v>2</v>
      </c>
      <c r="AI44">
        <v>16497069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ROW(Source!A34)</f>
        <v>34</v>
      </c>
      <c r="B45">
        <v>16497080</v>
      </c>
      <c r="C45">
        <v>16497067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226</v>
      </c>
      <c r="J45" t="s">
        <v>227</v>
      </c>
      <c r="K45" t="s">
        <v>228</v>
      </c>
      <c r="L45">
        <v>1368</v>
      </c>
      <c r="N45">
        <v>1011</v>
      </c>
      <c r="O45" t="s">
        <v>229</v>
      </c>
      <c r="P45" t="s">
        <v>229</v>
      </c>
      <c r="Q45">
        <v>1</v>
      </c>
      <c r="X45">
        <v>0.08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0.08</v>
      </c>
      <c r="AH45">
        <v>2</v>
      </c>
      <c r="AI45">
        <v>16497070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16497081</v>
      </c>
      <c r="C46">
        <v>16497067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232</v>
      </c>
      <c r="J46" t="s">
        <v>233</v>
      </c>
      <c r="K46" t="s">
        <v>234</v>
      </c>
      <c r="L46">
        <v>1368</v>
      </c>
      <c r="N46">
        <v>1011</v>
      </c>
      <c r="O46" t="s">
        <v>229</v>
      </c>
      <c r="P46" t="s">
        <v>229</v>
      </c>
      <c r="Q46">
        <v>1</v>
      </c>
      <c r="X46">
        <v>0.04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6</v>
      </c>
      <c r="AG46">
        <v>0.04</v>
      </c>
      <c r="AH46">
        <v>2</v>
      </c>
      <c r="AI46">
        <v>16497071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16497082</v>
      </c>
      <c r="C47">
        <v>16497067</v>
      </c>
      <c r="D47">
        <v>15164566</v>
      </c>
      <c r="E47">
        <v>17</v>
      </c>
      <c r="F47">
        <v>1</v>
      </c>
      <c r="G47">
        <v>1</v>
      </c>
      <c r="H47">
        <v>3</v>
      </c>
      <c r="I47" t="s">
        <v>273</v>
      </c>
      <c r="J47" t="s">
        <v>6</v>
      </c>
      <c r="K47" t="s">
        <v>274</v>
      </c>
      <c r="L47">
        <v>1348</v>
      </c>
      <c r="N47">
        <v>1009</v>
      </c>
      <c r="O47" t="s">
        <v>83</v>
      </c>
      <c r="P47" t="s">
        <v>83</v>
      </c>
      <c r="Q47">
        <v>1000</v>
      </c>
      <c r="X47">
        <v>0.224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6</v>
      </c>
      <c r="AG47">
        <v>0.224</v>
      </c>
      <c r="AH47">
        <v>3</v>
      </c>
      <c r="AI47">
        <v>-1</v>
      </c>
      <c r="AJ47" t="s">
        <v>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16497083</v>
      </c>
      <c r="C48">
        <v>16497067</v>
      </c>
      <c r="D48">
        <v>15170039</v>
      </c>
      <c r="E48">
        <v>1</v>
      </c>
      <c r="F48">
        <v>1</v>
      </c>
      <c r="G48">
        <v>1</v>
      </c>
      <c r="H48">
        <v>3</v>
      </c>
      <c r="I48" t="s">
        <v>259</v>
      </c>
      <c r="J48" t="s">
        <v>260</v>
      </c>
      <c r="K48" t="s">
        <v>261</v>
      </c>
      <c r="L48">
        <v>1348</v>
      </c>
      <c r="N48">
        <v>1009</v>
      </c>
      <c r="O48" t="s">
        <v>83</v>
      </c>
      <c r="P48" t="s">
        <v>83</v>
      </c>
      <c r="Q48">
        <v>1000</v>
      </c>
      <c r="X48">
        <v>4.0000000000000001E-3</v>
      </c>
      <c r="Y48">
        <v>11978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4.0000000000000001E-3</v>
      </c>
      <c r="AH48">
        <v>2</v>
      </c>
      <c r="AI48">
        <v>16497073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16497084</v>
      </c>
      <c r="C49">
        <v>16497067</v>
      </c>
      <c r="D49">
        <v>15191139</v>
      </c>
      <c r="E49">
        <v>1</v>
      </c>
      <c r="F49">
        <v>1</v>
      </c>
      <c r="G49">
        <v>1</v>
      </c>
      <c r="H49">
        <v>3</v>
      </c>
      <c r="I49" t="s">
        <v>262</v>
      </c>
      <c r="J49" t="s">
        <v>263</v>
      </c>
      <c r="K49" t="s">
        <v>264</v>
      </c>
      <c r="L49">
        <v>1348</v>
      </c>
      <c r="N49">
        <v>1009</v>
      </c>
      <c r="O49" t="s">
        <v>83</v>
      </c>
      <c r="P49" t="s">
        <v>83</v>
      </c>
      <c r="Q49">
        <v>1000</v>
      </c>
      <c r="X49">
        <v>6.0000000000000001E-3</v>
      </c>
      <c r="Y49">
        <v>8023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6</v>
      </c>
      <c r="AG49">
        <v>6.0000000000000001E-3</v>
      </c>
      <c r="AH49">
        <v>2</v>
      </c>
      <c r="AI49">
        <v>16497074</v>
      </c>
      <c r="AJ49">
        <v>48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16497085</v>
      </c>
      <c r="C50">
        <v>16497067</v>
      </c>
      <c r="D50">
        <v>15164570</v>
      </c>
      <c r="E50">
        <v>17</v>
      </c>
      <c r="F50">
        <v>1</v>
      </c>
      <c r="G50">
        <v>1</v>
      </c>
      <c r="H50">
        <v>3</v>
      </c>
      <c r="I50" t="s">
        <v>275</v>
      </c>
      <c r="J50" t="s">
        <v>6</v>
      </c>
      <c r="K50" t="s">
        <v>276</v>
      </c>
      <c r="L50">
        <v>1348</v>
      </c>
      <c r="N50">
        <v>1009</v>
      </c>
      <c r="O50" t="s">
        <v>83</v>
      </c>
      <c r="P50" t="s">
        <v>83</v>
      </c>
      <c r="Q50">
        <v>1000</v>
      </c>
      <c r="X50">
        <v>0.184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0.184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16497078</v>
      </c>
      <c r="C51">
        <v>16497067</v>
      </c>
      <c r="D51">
        <v>15430767</v>
      </c>
      <c r="E51">
        <v>1</v>
      </c>
      <c r="F51">
        <v>1</v>
      </c>
      <c r="G51">
        <v>1</v>
      </c>
      <c r="H51">
        <v>1</v>
      </c>
      <c r="I51" t="s">
        <v>257</v>
      </c>
      <c r="J51" t="s">
        <v>6</v>
      </c>
      <c r="K51" t="s">
        <v>258</v>
      </c>
      <c r="L51">
        <v>1191</v>
      </c>
      <c r="N51">
        <v>1013</v>
      </c>
      <c r="O51" t="s">
        <v>223</v>
      </c>
      <c r="P51" t="s">
        <v>223</v>
      </c>
      <c r="Q51">
        <v>1</v>
      </c>
      <c r="X51">
        <v>41.41</v>
      </c>
      <c r="Y51">
        <v>0</v>
      </c>
      <c r="Z51">
        <v>0</v>
      </c>
      <c r="AA51">
        <v>0</v>
      </c>
      <c r="AB51">
        <v>8.5299999999999994</v>
      </c>
      <c r="AC51">
        <v>0</v>
      </c>
      <c r="AD51">
        <v>1</v>
      </c>
      <c r="AE51">
        <v>1</v>
      </c>
      <c r="AF51" t="s">
        <v>6</v>
      </c>
      <c r="AG51">
        <v>41.41</v>
      </c>
      <c r="AH51">
        <v>2</v>
      </c>
      <c r="AI51">
        <v>16497068</v>
      </c>
      <c r="AJ51">
        <v>50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16497079</v>
      </c>
      <c r="C52">
        <v>16497067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224</v>
      </c>
      <c r="J52" t="s">
        <v>6</v>
      </c>
      <c r="K52" t="s">
        <v>225</v>
      </c>
      <c r="L52">
        <v>1191</v>
      </c>
      <c r="N52">
        <v>1013</v>
      </c>
      <c r="O52" t="s">
        <v>223</v>
      </c>
      <c r="P52" t="s">
        <v>223</v>
      </c>
      <c r="Q52">
        <v>1</v>
      </c>
      <c r="X52">
        <v>0.12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6</v>
      </c>
      <c r="AG52">
        <v>0.12</v>
      </c>
      <c r="AH52">
        <v>2</v>
      </c>
      <c r="AI52">
        <v>16497069</v>
      </c>
      <c r="AJ52">
        <v>51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ROW(Source!A35)</f>
        <v>35</v>
      </c>
      <c r="B53">
        <v>16497080</v>
      </c>
      <c r="C53">
        <v>16497067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226</v>
      </c>
      <c r="J53" t="s">
        <v>227</v>
      </c>
      <c r="K53" t="s">
        <v>228</v>
      </c>
      <c r="L53">
        <v>1368</v>
      </c>
      <c r="N53">
        <v>1011</v>
      </c>
      <c r="O53" t="s">
        <v>229</v>
      </c>
      <c r="P53" t="s">
        <v>229</v>
      </c>
      <c r="Q53">
        <v>1</v>
      </c>
      <c r="X53">
        <v>0.08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6</v>
      </c>
      <c r="AG53">
        <v>0.08</v>
      </c>
      <c r="AH53">
        <v>2</v>
      </c>
      <c r="AI53">
        <v>16497070</v>
      </c>
      <c r="AJ53">
        <v>52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ROW(Source!A35)</f>
        <v>35</v>
      </c>
      <c r="B54">
        <v>16497081</v>
      </c>
      <c r="C54">
        <v>16497067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232</v>
      </c>
      <c r="J54" t="s">
        <v>233</v>
      </c>
      <c r="K54" t="s">
        <v>234</v>
      </c>
      <c r="L54">
        <v>1368</v>
      </c>
      <c r="N54">
        <v>1011</v>
      </c>
      <c r="O54" t="s">
        <v>229</v>
      </c>
      <c r="P54" t="s">
        <v>229</v>
      </c>
      <c r="Q54">
        <v>1</v>
      </c>
      <c r="X54">
        <v>0.04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0.04</v>
      </c>
      <c r="AH54">
        <v>2</v>
      </c>
      <c r="AI54">
        <v>16497071</v>
      </c>
      <c r="AJ54">
        <v>53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ROW(Source!A35)</f>
        <v>35</v>
      </c>
      <c r="B55">
        <v>16497082</v>
      </c>
      <c r="C55">
        <v>16497067</v>
      </c>
      <c r="D55">
        <v>15164566</v>
      </c>
      <c r="E55">
        <v>17</v>
      </c>
      <c r="F55">
        <v>1</v>
      </c>
      <c r="G55">
        <v>1</v>
      </c>
      <c r="H55">
        <v>3</v>
      </c>
      <c r="I55" t="s">
        <v>273</v>
      </c>
      <c r="J55" t="s">
        <v>6</v>
      </c>
      <c r="K55" t="s">
        <v>274</v>
      </c>
      <c r="L55">
        <v>1348</v>
      </c>
      <c r="N55">
        <v>1009</v>
      </c>
      <c r="O55" t="s">
        <v>83</v>
      </c>
      <c r="P55" t="s">
        <v>83</v>
      </c>
      <c r="Q55">
        <v>1000</v>
      </c>
      <c r="X55">
        <v>0.224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0.224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ROW(Source!A35)</f>
        <v>35</v>
      </c>
      <c r="B56">
        <v>16497083</v>
      </c>
      <c r="C56">
        <v>16497067</v>
      </c>
      <c r="D56">
        <v>15170039</v>
      </c>
      <c r="E56">
        <v>1</v>
      </c>
      <c r="F56">
        <v>1</v>
      </c>
      <c r="G56">
        <v>1</v>
      </c>
      <c r="H56">
        <v>3</v>
      </c>
      <c r="I56" t="s">
        <v>259</v>
      </c>
      <c r="J56" t="s">
        <v>260</v>
      </c>
      <c r="K56" t="s">
        <v>261</v>
      </c>
      <c r="L56">
        <v>1348</v>
      </c>
      <c r="N56">
        <v>1009</v>
      </c>
      <c r="O56" t="s">
        <v>83</v>
      </c>
      <c r="P56" t="s">
        <v>83</v>
      </c>
      <c r="Q56">
        <v>1000</v>
      </c>
      <c r="X56">
        <v>4.0000000000000001E-3</v>
      </c>
      <c r="Y56">
        <v>11978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4.0000000000000001E-3</v>
      </c>
      <c r="AH56">
        <v>2</v>
      </c>
      <c r="AI56">
        <v>16497073</v>
      </c>
      <c r="AJ56">
        <v>54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ROW(Source!A35)</f>
        <v>35</v>
      </c>
      <c r="B57">
        <v>16497084</v>
      </c>
      <c r="C57">
        <v>16497067</v>
      </c>
      <c r="D57">
        <v>15191139</v>
      </c>
      <c r="E57">
        <v>1</v>
      </c>
      <c r="F57">
        <v>1</v>
      </c>
      <c r="G57">
        <v>1</v>
      </c>
      <c r="H57">
        <v>3</v>
      </c>
      <c r="I57" t="s">
        <v>262</v>
      </c>
      <c r="J57" t="s">
        <v>263</v>
      </c>
      <c r="K57" t="s">
        <v>264</v>
      </c>
      <c r="L57">
        <v>1348</v>
      </c>
      <c r="N57">
        <v>1009</v>
      </c>
      <c r="O57" t="s">
        <v>83</v>
      </c>
      <c r="P57" t="s">
        <v>83</v>
      </c>
      <c r="Q57">
        <v>1000</v>
      </c>
      <c r="X57">
        <v>6.0000000000000001E-3</v>
      </c>
      <c r="Y57">
        <v>8023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6</v>
      </c>
      <c r="AG57">
        <v>6.0000000000000001E-3</v>
      </c>
      <c r="AH57">
        <v>2</v>
      </c>
      <c r="AI57">
        <v>16497074</v>
      </c>
      <c r="AJ57">
        <v>55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ROW(Source!A35)</f>
        <v>35</v>
      </c>
      <c r="B58">
        <v>16497085</v>
      </c>
      <c r="C58">
        <v>16497067</v>
      </c>
      <c r="D58">
        <v>15164570</v>
      </c>
      <c r="E58">
        <v>17</v>
      </c>
      <c r="F58">
        <v>1</v>
      </c>
      <c r="G58">
        <v>1</v>
      </c>
      <c r="H58">
        <v>3</v>
      </c>
      <c r="I58" t="s">
        <v>275</v>
      </c>
      <c r="J58" t="s">
        <v>6</v>
      </c>
      <c r="K58" t="s">
        <v>276</v>
      </c>
      <c r="L58">
        <v>1348</v>
      </c>
      <c r="N58">
        <v>1009</v>
      </c>
      <c r="O58" t="s">
        <v>83</v>
      </c>
      <c r="P58" t="s">
        <v>83</v>
      </c>
      <c r="Q58">
        <v>1000</v>
      </c>
      <c r="X58">
        <v>0.184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0.184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ROW(Source!A38)</f>
        <v>38</v>
      </c>
      <c r="B59">
        <v>16497102</v>
      </c>
      <c r="C59">
        <v>16497090</v>
      </c>
      <c r="D59">
        <v>15438286</v>
      </c>
      <c r="E59">
        <v>1</v>
      </c>
      <c r="F59">
        <v>1</v>
      </c>
      <c r="G59">
        <v>1</v>
      </c>
      <c r="H59">
        <v>1</v>
      </c>
      <c r="I59" t="s">
        <v>265</v>
      </c>
      <c r="J59" t="s">
        <v>6</v>
      </c>
      <c r="K59" t="s">
        <v>266</v>
      </c>
      <c r="L59">
        <v>1191</v>
      </c>
      <c r="N59">
        <v>1013</v>
      </c>
      <c r="O59" t="s">
        <v>223</v>
      </c>
      <c r="P59" t="s">
        <v>223</v>
      </c>
      <c r="Q59">
        <v>1</v>
      </c>
      <c r="X59">
        <v>166.47</v>
      </c>
      <c r="Y59">
        <v>0</v>
      </c>
      <c r="Z59">
        <v>0</v>
      </c>
      <c r="AA59">
        <v>0</v>
      </c>
      <c r="AB59">
        <v>9.18</v>
      </c>
      <c r="AC59">
        <v>0</v>
      </c>
      <c r="AD59">
        <v>1</v>
      </c>
      <c r="AE59">
        <v>1</v>
      </c>
      <c r="AF59" t="s">
        <v>6</v>
      </c>
      <c r="AG59">
        <v>166.47</v>
      </c>
      <c r="AH59">
        <v>2</v>
      </c>
      <c r="AI59">
        <v>16497091</v>
      </c>
      <c r="AJ59">
        <v>57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ROW(Source!A38)</f>
        <v>38</v>
      </c>
      <c r="B60">
        <v>16497103</v>
      </c>
      <c r="C60">
        <v>16497090</v>
      </c>
      <c r="D60">
        <v>15430395</v>
      </c>
      <c r="E60">
        <v>1</v>
      </c>
      <c r="F60">
        <v>1</v>
      </c>
      <c r="G60">
        <v>1</v>
      </c>
      <c r="H60">
        <v>1</v>
      </c>
      <c r="I60" t="s">
        <v>224</v>
      </c>
      <c r="J60" t="s">
        <v>6</v>
      </c>
      <c r="K60" t="s">
        <v>225</v>
      </c>
      <c r="L60">
        <v>1191</v>
      </c>
      <c r="N60">
        <v>1013</v>
      </c>
      <c r="O60" t="s">
        <v>223</v>
      </c>
      <c r="P60" t="s">
        <v>223</v>
      </c>
      <c r="Q60">
        <v>1</v>
      </c>
      <c r="X60">
        <v>0.57999999999999996</v>
      </c>
      <c r="Y60">
        <v>0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2</v>
      </c>
      <c r="AF60" t="s">
        <v>6</v>
      </c>
      <c r="AG60">
        <v>0.57999999999999996</v>
      </c>
      <c r="AH60">
        <v>2</v>
      </c>
      <c r="AI60">
        <v>16497092</v>
      </c>
      <c r="AJ60">
        <v>58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ROW(Source!A38)</f>
        <v>38</v>
      </c>
      <c r="B61">
        <v>16497104</v>
      </c>
      <c r="C61">
        <v>16497090</v>
      </c>
      <c r="D61">
        <v>15247974</v>
      </c>
      <c r="E61">
        <v>1</v>
      </c>
      <c r="F61">
        <v>1</v>
      </c>
      <c r="G61">
        <v>1</v>
      </c>
      <c r="H61">
        <v>2</v>
      </c>
      <c r="I61" t="s">
        <v>226</v>
      </c>
      <c r="J61" t="s">
        <v>227</v>
      </c>
      <c r="K61" t="s">
        <v>228</v>
      </c>
      <c r="L61">
        <v>1368</v>
      </c>
      <c r="N61">
        <v>1011</v>
      </c>
      <c r="O61" t="s">
        <v>229</v>
      </c>
      <c r="P61" t="s">
        <v>229</v>
      </c>
      <c r="Q61">
        <v>1</v>
      </c>
      <c r="X61">
        <v>0.08</v>
      </c>
      <c r="Y61">
        <v>0</v>
      </c>
      <c r="Z61">
        <v>31.26</v>
      </c>
      <c r="AA61">
        <v>13.5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0.08</v>
      </c>
      <c r="AH61">
        <v>2</v>
      </c>
      <c r="AI61">
        <v>16497093</v>
      </c>
      <c r="AJ61">
        <v>59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ROW(Source!A38)</f>
        <v>38</v>
      </c>
      <c r="B62">
        <v>16497105</v>
      </c>
      <c r="C62">
        <v>16497090</v>
      </c>
      <c r="D62">
        <v>15249073</v>
      </c>
      <c r="E62">
        <v>1</v>
      </c>
      <c r="F62">
        <v>1</v>
      </c>
      <c r="G62">
        <v>1</v>
      </c>
      <c r="H62">
        <v>2</v>
      </c>
      <c r="I62" t="s">
        <v>232</v>
      </c>
      <c r="J62" t="s">
        <v>233</v>
      </c>
      <c r="K62" t="s">
        <v>234</v>
      </c>
      <c r="L62">
        <v>1368</v>
      </c>
      <c r="N62">
        <v>1011</v>
      </c>
      <c r="O62" t="s">
        <v>229</v>
      </c>
      <c r="P62" t="s">
        <v>229</v>
      </c>
      <c r="Q62">
        <v>1</v>
      </c>
      <c r="X62">
        <v>0.5</v>
      </c>
      <c r="Y62">
        <v>0</v>
      </c>
      <c r="Z62">
        <v>65.709999999999994</v>
      </c>
      <c r="AA62">
        <v>11.6</v>
      </c>
      <c r="AB62">
        <v>0</v>
      </c>
      <c r="AC62">
        <v>0</v>
      </c>
      <c r="AD62">
        <v>1</v>
      </c>
      <c r="AE62">
        <v>0</v>
      </c>
      <c r="AF62" t="s">
        <v>6</v>
      </c>
      <c r="AG62">
        <v>0.5</v>
      </c>
      <c r="AH62">
        <v>2</v>
      </c>
      <c r="AI62">
        <v>16497094</v>
      </c>
      <c r="AJ62">
        <v>60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ROW(Source!A38)</f>
        <v>38</v>
      </c>
      <c r="B63">
        <v>16497106</v>
      </c>
      <c r="C63">
        <v>16497090</v>
      </c>
      <c r="D63">
        <v>15162966</v>
      </c>
      <c r="E63">
        <v>17</v>
      </c>
      <c r="F63">
        <v>1</v>
      </c>
      <c r="G63">
        <v>1</v>
      </c>
      <c r="H63">
        <v>3</v>
      </c>
      <c r="I63" t="s">
        <v>62</v>
      </c>
      <c r="J63" t="s">
        <v>6</v>
      </c>
      <c r="K63" t="s">
        <v>63</v>
      </c>
      <c r="L63">
        <v>1327</v>
      </c>
      <c r="N63">
        <v>1005</v>
      </c>
      <c r="O63" t="s">
        <v>33</v>
      </c>
      <c r="P63" t="s">
        <v>33</v>
      </c>
      <c r="Q63">
        <v>1</v>
      </c>
      <c r="X63">
        <v>105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105</v>
      </c>
      <c r="AH63">
        <v>2</v>
      </c>
      <c r="AI63">
        <v>16497095</v>
      </c>
      <c r="AJ63">
        <v>61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ROW(Source!A38)</f>
        <v>38</v>
      </c>
      <c r="B64">
        <v>16497107</v>
      </c>
      <c r="C64">
        <v>16497090</v>
      </c>
      <c r="D64">
        <v>15171018</v>
      </c>
      <c r="E64">
        <v>1</v>
      </c>
      <c r="F64">
        <v>1</v>
      </c>
      <c r="G64">
        <v>1</v>
      </c>
      <c r="H64">
        <v>3</v>
      </c>
      <c r="I64" t="s">
        <v>267</v>
      </c>
      <c r="J64" t="s">
        <v>268</v>
      </c>
      <c r="K64" t="s">
        <v>269</v>
      </c>
      <c r="L64">
        <v>1346</v>
      </c>
      <c r="N64">
        <v>1009</v>
      </c>
      <c r="O64" t="s">
        <v>71</v>
      </c>
      <c r="P64" t="s">
        <v>71</v>
      </c>
      <c r="Q64">
        <v>1</v>
      </c>
      <c r="X64">
        <v>0.2</v>
      </c>
      <c r="Y64">
        <v>1.82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0.2</v>
      </c>
      <c r="AH64">
        <v>2</v>
      </c>
      <c r="AI64">
        <v>16497096</v>
      </c>
      <c r="AJ64">
        <v>62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ROW(Source!A38)</f>
        <v>38</v>
      </c>
      <c r="B65">
        <v>16497108</v>
      </c>
      <c r="C65">
        <v>16497090</v>
      </c>
      <c r="D65">
        <v>15162257</v>
      </c>
      <c r="E65">
        <v>17</v>
      </c>
      <c r="F65">
        <v>1</v>
      </c>
      <c r="G65">
        <v>1</v>
      </c>
      <c r="H65">
        <v>3</v>
      </c>
      <c r="I65" t="s">
        <v>69</v>
      </c>
      <c r="J65" t="s">
        <v>6</v>
      </c>
      <c r="K65" t="s">
        <v>70</v>
      </c>
      <c r="L65">
        <v>1346</v>
      </c>
      <c r="N65">
        <v>1009</v>
      </c>
      <c r="O65" t="s">
        <v>71</v>
      </c>
      <c r="P65" t="s">
        <v>71</v>
      </c>
      <c r="Q65">
        <v>1</v>
      </c>
      <c r="X65">
        <v>30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6</v>
      </c>
      <c r="AG65">
        <v>30</v>
      </c>
      <c r="AH65">
        <v>2</v>
      </c>
      <c r="AI65">
        <v>16497097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ROW(Source!A38)</f>
        <v>38</v>
      </c>
      <c r="B66">
        <v>16497109</v>
      </c>
      <c r="C66">
        <v>16497090</v>
      </c>
      <c r="D66">
        <v>15162572</v>
      </c>
      <c r="E66">
        <v>17</v>
      </c>
      <c r="F66">
        <v>1</v>
      </c>
      <c r="G66">
        <v>1</v>
      </c>
      <c r="H66">
        <v>3</v>
      </c>
      <c r="I66" t="s">
        <v>81</v>
      </c>
      <c r="J66" t="s">
        <v>6</v>
      </c>
      <c r="K66" t="s">
        <v>82</v>
      </c>
      <c r="L66">
        <v>1348</v>
      </c>
      <c r="N66">
        <v>1009</v>
      </c>
      <c r="O66" t="s">
        <v>83</v>
      </c>
      <c r="P66" t="s">
        <v>83</v>
      </c>
      <c r="Q66">
        <v>1000</v>
      </c>
      <c r="X66">
        <v>8.8999999999999999E-3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 t="s">
        <v>6</v>
      </c>
      <c r="AG66">
        <v>8.8999999999999999E-3</v>
      </c>
      <c r="AH66">
        <v>2</v>
      </c>
      <c r="AI66">
        <v>16497098</v>
      </c>
      <c r="AJ66">
        <v>67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ROW(Source!A39)</f>
        <v>39</v>
      </c>
      <c r="B67">
        <v>16497102</v>
      </c>
      <c r="C67">
        <v>16497090</v>
      </c>
      <c r="D67">
        <v>15438286</v>
      </c>
      <c r="E67">
        <v>1</v>
      </c>
      <c r="F67">
        <v>1</v>
      </c>
      <c r="G67">
        <v>1</v>
      </c>
      <c r="H67">
        <v>1</v>
      </c>
      <c r="I67" t="s">
        <v>265</v>
      </c>
      <c r="J67" t="s">
        <v>6</v>
      </c>
      <c r="K67" t="s">
        <v>266</v>
      </c>
      <c r="L67">
        <v>1191</v>
      </c>
      <c r="N67">
        <v>1013</v>
      </c>
      <c r="O67" t="s">
        <v>223</v>
      </c>
      <c r="P67" t="s">
        <v>223</v>
      </c>
      <c r="Q67">
        <v>1</v>
      </c>
      <c r="X67">
        <v>166.47</v>
      </c>
      <c r="Y67">
        <v>0</v>
      </c>
      <c r="Z67">
        <v>0</v>
      </c>
      <c r="AA67">
        <v>0</v>
      </c>
      <c r="AB67">
        <v>9.18</v>
      </c>
      <c r="AC67">
        <v>0</v>
      </c>
      <c r="AD67">
        <v>1</v>
      </c>
      <c r="AE67">
        <v>1</v>
      </c>
      <c r="AF67" t="s">
        <v>6</v>
      </c>
      <c r="AG67">
        <v>166.47</v>
      </c>
      <c r="AH67">
        <v>2</v>
      </c>
      <c r="AI67">
        <v>16497091</v>
      </c>
      <c r="AJ67">
        <v>68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ROW(Source!A39)</f>
        <v>39</v>
      </c>
      <c r="B68">
        <v>16497103</v>
      </c>
      <c r="C68">
        <v>16497090</v>
      </c>
      <c r="D68">
        <v>15430395</v>
      </c>
      <c r="E68">
        <v>1</v>
      </c>
      <c r="F68">
        <v>1</v>
      </c>
      <c r="G68">
        <v>1</v>
      </c>
      <c r="H68">
        <v>1</v>
      </c>
      <c r="I68" t="s">
        <v>224</v>
      </c>
      <c r="J68" t="s">
        <v>6</v>
      </c>
      <c r="K68" t="s">
        <v>225</v>
      </c>
      <c r="L68">
        <v>1191</v>
      </c>
      <c r="N68">
        <v>1013</v>
      </c>
      <c r="O68" t="s">
        <v>223</v>
      </c>
      <c r="P68" t="s">
        <v>223</v>
      </c>
      <c r="Q68">
        <v>1</v>
      </c>
      <c r="X68">
        <v>0.57999999999999996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2</v>
      </c>
      <c r="AF68" t="s">
        <v>6</v>
      </c>
      <c r="AG68">
        <v>0.57999999999999996</v>
      </c>
      <c r="AH68">
        <v>2</v>
      </c>
      <c r="AI68">
        <v>16497092</v>
      </c>
      <c r="AJ68">
        <v>69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ROW(Source!A39)</f>
        <v>39</v>
      </c>
      <c r="B69">
        <v>16497104</v>
      </c>
      <c r="C69">
        <v>16497090</v>
      </c>
      <c r="D69">
        <v>15247974</v>
      </c>
      <c r="E69">
        <v>1</v>
      </c>
      <c r="F69">
        <v>1</v>
      </c>
      <c r="G69">
        <v>1</v>
      </c>
      <c r="H69">
        <v>2</v>
      </c>
      <c r="I69" t="s">
        <v>226</v>
      </c>
      <c r="J69" t="s">
        <v>227</v>
      </c>
      <c r="K69" t="s">
        <v>228</v>
      </c>
      <c r="L69">
        <v>1368</v>
      </c>
      <c r="N69">
        <v>1011</v>
      </c>
      <c r="O69" t="s">
        <v>229</v>
      </c>
      <c r="P69" t="s">
        <v>229</v>
      </c>
      <c r="Q69">
        <v>1</v>
      </c>
      <c r="X69">
        <v>0.08</v>
      </c>
      <c r="Y69">
        <v>0</v>
      </c>
      <c r="Z69">
        <v>31.26</v>
      </c>
      <c r="AA69">
        <v>13.5</v>
      </c>
      <c r="AB69">
        <v>0</v>
      </c>
      <c r="AC69">
        <v>0</v>
      </c>
      <c r="AD69">
        <v>1</v>
      </c>
      <c r="AE69">
        <v>0</v>
      </c>
      <c r="AF69" t="s">
        <v>6</v>
      </c>
      <c r="AG69">
        <v>0.08</v>
      </c>
      <c r="AH69">
        <v>2</v>
      </c>
      <c r="AI69">
        <v>16497093</v>
      </c>
      <c r="AJ69">
        <v>70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ROW(Source!A39)</f>
        <v>39</v>
      </c>
      <c r="B70">
        <v>16497105</v>
      </c>
      <c r="C70">
        <v>16497090</v>
      </c>
      <c r="D70">
        <v>15249073</v>
      </c>
      <c r="E70">
        <v>1</v>
      </c>
      <c r="F70">
        <v>1</v>
      </c>
      <c r="G70">
        <v>1</v>
      </c>
      <c r="H70">
        <v>2</v>
      </c>
      <c r="I70" t="s">
        <v>232</v>
      </c>
      <c r="J70" t="s">
        <v>233</v>
      </c>
      <c r="K70" t="s">
        <v>234</v>
      </c>
      <c r="L70">
        <v>1368</v>
      </c>
      <c r="N70">
        <v>1011</v>
      </c>
      <c r="O70" t="s">
        <v>229</v>
      </c>
      <c r="P70" t="s">
        <v>229</v>
      </c>
      <c r="Q70">
        <v>1</v>
      </c>
      <c r="X70">
        <v>0.5</v>
      </c>
      <c r="Y70">
        <v>0</v>
      </c>
      <c r="Z70">
        <v>65.709999999999994</v>
      </c>
      <c r="AA70">
        <v>11.6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0.5</v>
      </c>
      <c r="AH70">
        <v>2</v>
      </c>
      <c r="AI70">
        <v>16497094</v>
      </c>
      <c r="AJ70">
        <v>71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ROW(Source!A39)</f>
        <v>39</v>
      </c>
      <c r="B71">
        <v>16497106</v>
      </c>
      <c r="C71">
        <v>16497090</v>
      </c>
      <c r="D71">
        <v>15162966</v>
      </c>
      <c r="E71">
        <v>17</v>
      </c>
      <c r="F71">
        <v>1</v>
      </c>
      <c r="G71">
        <v>1</v>
      </c>
      <c r="H71">
        <v>3</v>
      </c>
      <c r="I71" t="s">
        <v>62</v>
      </c>
      <c r="J71" t="s">
        <v>6</v>
      </c>
      <c r="K71" t="s">
        <v>63</v>
      </c>
      <c r="L71">
        <v>1327</v>
      </c>
      <c r="N71">
        <v>1005</v>
      </c>
      <c r="O71" t="s">
        <v>33</v>
      </c>
      <c r="P71" t="s">
        <v>33</v>
      </c>
      <c r="Q71">
        <v>1</v>
      </c>
      <c r="X71">
        <v>105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 t="s">
        <v>6</v>
      </c>
      <c r="AG71">
        <v>105</v>
      </c>
      <c r="AH71">
        <v>2</v>
      </c>
      <c r="AI71">
        <v>16497095</v>
      </c>
      <c r="AJ71">
        <v>72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ROW(Source!A39)</f>
        <v>39</v>
      </c>
      <c r="B72">
        <v>16497107</v>
      </c>
      <c r="C72">
        <v>16497090</v>
      </c>
      <c r="D72">
        <v>15171018</v>
      </c>
      <c r="E72">
        <v>1</v>
      </c>
      <c r="F72">
        <v>1</v>
      </c>
      <c r="G72">
        <v>1</v>
      </c>
      <c r="H72">
        <v>3</v>
      </c>
      <c r="I72" t="s">
        <v>267</v>
      </c>
      <c r="J72" t="s">
        <v>268</v>
      </c>
      <c r="K72" t="s">
        <v>269</v>
      </c>
      <c r="L72">
        <v>1346</v>
      </c>
      <c r="N72">
        <v>1009</v>
      </c>
      <c r="O72" t="s">
        <v>71</v>
      </c>
      <c r="P72" t="s">
        <v>71</v>
      </c>
      <c r="Q72">
        <v>1</v>
      </c>
      <c r="X72">
        <v>0.2</v>
      </c>
      <c r="Y72">
        <v>1.82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6</v>
      </c>
      <c r="AG72">
        <v>0.2</v>
      </c>
      <c r="AH72">
        <v>2</v>
      </c>
      <c r="AI72">
        <v>16497096</v>
      </c>
      <c r="AJ72">
        <v>73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ROW(Source!A39)</f>
        <v>39</v>
      </c>
      <c r="B73">
        <v>16497108</v>
      </c>
      <c r="C73">
        <v>16497090</v>
      </c>
      <c r="D73">
        <v>15162257</v>
      </c>
      <c r="E73">
        <v>17</v>
      </c>
      <c r="F73">
        <v>1</v>
      </c>
      <c r="G73">
        <v>1</v>
      </c>
      <c r="H73">
        <v>3</v>
      </c>
      <c r="I73" t="s">
        <v>69</v>
      </c>
      <c r="J73" t="s">
        <v>6</v>
      </c>
      <c r="K73" t="s">
        <v>70</v>
      </c>
      <c r="L73">
        <v>1346</v>
      </c>
      <c r="N73">
        <v>1009</v>
      </c>
      <c r="O73" t="s">
        <v>71</v>
      </c>
      <c r="P73" t="s">
        <v>71</v>
      </c>
      <c r="Q73">
        <v>1</v>
      </c>
      <c r="X73">
        <v>30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 t="s">
        <v>6</v>
      </c>
      <c r="AG73">
        <v>30</v>
      </c>
      <c r="AH73">
        <v>2</v>
      </c>
      <c r="AI73">
        <v>16497097</v>
      </c>
      <c r="AJ73">
        <v>76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ROW(Source!A39)</f>
        <v>39</v>
      </c>
      <c r="B74">
        <v>16497109</v>
      </c>
      <c r="C74">
        <v>16497090</v>
      </c>
      <c r="D74">
        <v>15162572</v>
      </c>
      <c r="E74">
        <v>17</v>
      </c>
      <c r="F74">
        <v>1</v>
      </c>
      <c r="G74">
        <v>1</v>
      </c>
      <c r="H74">
        <v>3</v>
      </c>
      <c r="I74" t="s">
        <v>81</v>
      </c>
      <c r="J74" t="s">
        <v>6</v>
      </c>
      <c r="K74" t="s">
        <v>82</v>
      </c>
      <c r="L74">
        <v>1348</v>
      </c>
      <c r="N74">
        <v>1009</v>
      </c>
      <c r="O74" t="s">
        <v>83</v>
      </c>
      <c r="P74" t="s">
        <v>83</v>
      </c>
      <c r="Q74">
        <v>1000</v>
      </c>
      <c r="X74">
        <v>8.8999999999999999E-3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8.8999999999999999E-3</v>
      </c>
      <c r="AH74">
        <v>2</v>
      </c>
      <c r="AI74">
        <v>16497098</v>
      </c>
      <c r="AJ74">
        <v>78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Л. Ситникова</cp:lastModifiedBy>
  <cp:lastPrinted>2018-02-02T09:52:36Z</cp:lastPrinted>
  <dcterms:created xsi:type="dcterms:W3CDTF">2018-02-02T08:42:48Z</dcterms:created>
  <dcterms:modified xsi:type="dcterms:W3CDTF">2018-08-14T09:27:35Z</dcterms:modified>
</cp:coreProperties>
</file>